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4"/>
  </bookViews>
  <sheets>
    <sheet name="IS" sheetId="1" r:id="rId1"/>
    <sheet name="BS" sheetId="2" r:id="rId2"/>
    <sheet name="STMT OF EQUITY" sheetId="3" r:id="rId3"/>
    <sheet name="CF" sheetId="4" r:id="rId4"/>
    <sheet name="NOTE" sheetId="5" r:id="rId5"/>
  </sheets>
  <externalReferences>
    <externalReference r:id="rId8"/>
  </externalReferences>
  <definedNames/>
  <calcPr fullCalcOnLoad="1"/>
</workbook>
</file>

<file path=xl/sharedStrings.xml><?xml version="1.0" encoding="utf-8"?>
<sst xmlns="http://schemas.openxmlformats.org/spreadsheetml/2006/main" count="319" uniqueCount="222">
  <si>
    <t xml:space="preserve">DPS RESOURCES BERHAD </t>
  </si>
  <si>
    <t>(Company No. 630878-X)</t>
  </si>
  <si>
    <t>CONDENSED CONSOLIDATED INCOME STATEMENT</t>
  </si>
  <si>
    <t>FOR THE FIRST QUARTER ENDED 31 MARCH 2008</t>
  </si>
  <si>
    <t>(The figures have not been audited)</t>
  </si>
  <si>
    <t>Individual Quarter</t>
  </si>
  <si>
    <t>Cumulative Quarter</t>
  </si>
  <si>
    <t>Preceding Year</t>
  </si>
  <si>
    <t>Current Year</t>
  </si>
  <si>
    <t>Corresponding</t>
  </si>
  <si>
    <t>Quarter</t>
  </si>
  <si>
    <t>To Date</t>
  </si>
  <si>
    <t>Period</t>
  </si>
  <si>
    <t>31.03.08</t>
  </si>
  <si>
    <t>31.03.07</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</si>
  <si>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</si>
  <si>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</si>
  <si>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</si>
  <si>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</si>
  <si>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</si>
  <si>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</si>
  <si>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</si>
  <si>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</si>
  <si>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</si>
  <si>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</si>
  <si>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</si>
  <si>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</si>
  <si>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</si>
  <si>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</si>
  <si>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attributable to ordinary equity holders of the parent</t>
  </si>
  <si>
    <t>Weighted average number of shares ('000s)</t>
  </si>
  <si>
    <t>Earning per share (sen)</t>
  </si>
  <si>
    <t>- Basic</t>
  </si>
  <si>
    <t>- Diluted</t>
  </si>
  <si>
    <t>CONDENSED CONSOLIDATED BALANCE SHEETS AS AT 31 MARCH 2008</t>
  </si>
  <si>
    <t>As At</t>
  </si>
  <si>
    <t>As At End</t>
  </si>
  <si>
    <t>Preceding</t>
  </si>
  <si>
    <t xml:space="preserve">Of Current </t>
  </si>
  <si>
    <t>Financial</t>
  </si>
  <si>
    <t>Year End</t>
  </si>
  <si>
    <t>31.12.07</t>
  </si>
  <si>
    <t>Property, plant and equipment</t>
  </si>
  <si>
    <t>Prepaid land lease payments</t>
  </si>
  <si>
    <t>Investment property</t>
  </si>
  <si>
    <t>Plantation development expenditure</t>
  </si>
  <si>
    <t>Deferred expenditure</t>
  </si>
  <si>
    <t>Current assets</t>
  </si>
  <si>
    <t>Inventories</t>
  </si>
  <si>
    <t>Receivables</t>
  </si>
  <si>
    <t>Tax refundable</t>
  </si>
  <si>
    <t>Cash and cash equivalents</t>
  </si>
  <si>
    <t>Current liabilities</t>
  </si>
  <si>
    <t>Short term borrowings</t>
  </si>
  <si>
    <t>Payables</t>
  </si>
  <si>
    <t>Net current assets / (liabilities)</t>
  </si>
  <si>
    <t>Share capital</t>
  </si>
  <si>
    <t>Reserves</t>
  </si>
  <si>
    <t>Shareholders' funds</t>
  </si>
  <si>
    <t>Share application money pending allotment</t>
  </si>
  <si>
    <t>Long term borrowings</t>
  </si>
  <si>
    <t>Deferred taxation</t>
  </si>
  <si>
    <t>Net Tangible Assets per share attributable to ordinary equity holders of the parent (RM)</t>
  </si>
  <si>
    <t>CONDENSED CONSOLIDATED CASH FLOW STATEMENT</t>
  </si>
  <si>
    <t>Cumulative</t>
  </si>
  <si>
    <t>Net cash (outflow)/ inflow from operating activities</t>
  </si>
  <si>
    <t>Net cash (outflow) from investing activities</t>
  </si>
  <si>
    <t>Net cash inflow from financing activities</t>
  </si>
  <si>
    <t>Net increase in cash and cash equivalents</t>
  </si>
  <si>
    <t>Cash and cash equivalents as at 1 January 2008</t>
  </si>
  <si>
    <t>Cash and cash equivalents as at 31 March 2008</t>
  </si>
  <si>
    <t>Reconciliation :</t>
  </si>
  <si>
    <t>Cash and bank balances</t>
  </si>
  <si>
    <t xml:space="preserve">Bank overdrafts </t>
  </si>
  <si>
    <t>CONDENSED CONSOLIDATED STATEMENT OF CHANGES IN EQUITY</t>
  </si>
  <si>
    <t xml:space="preserve">Distributable </t>
  </si>
  <si>
    <t xml:space="preserve">Non-Distributable </t>
  </si>
  <si>
    <t>Share</t>
  </si>
  <si>
    <t xml:space="preserve">Retained </t>
  </si>
  <si>
    <t>Capital</t>
  </si>
  <si>
    <t>Profit</t>
  </si>
  <si>
    <t>Premium</t>
  </si>
  <si>
    <t>Total</t>
  </si>
  <si>
    <t>Balance as at 1 January 2006</t>
  </si>
  <si>
    <t>Priors' years adjustments</t>
  </si>
  <si>
    <t>Restated balance</t>
  </si>
  <si>
    <t>Effect on adopting FRS 3</t>
  </si>
  <si>
    <t>Issue of ordinary shares private placement</t>
  </si>
  <si>
    <t xml:space="preserve">Expenses of private placement and </t>
  </si>
  <si>
    <t>share buy-back written-off</t>
  </si>
  <si>
    <t>Deferred tax on revaluation increase</t>
  </si>
  <si>
    <t>no longer required</t>
  </si>
  <si>
    <t xml:space="preserve">Net profit / (loss) not recognised in </t>
  </si>
  <si>
    <t>income statement</t>
  </si>
  <si>
    <t>Dividends for the year ended:</t>
  </si>
  <si>
    <t>- 31.12.2005 (paid on 18 September 2006)</t>
  </si>
  <si>
    <t>Net profit for the year</t>
  </si>
  <si>
    <t>Balance as at 31 December 2006</t>
  </si>
  <si>
    <t xml:space="preserve">Expenses of ESOS written-off </t>
  </si>
  <si>
    <t>Net profit for the financial year</t>
  </si>
  <si>
    <t>Balance as at 31 December 2007</t>
  </si>
  <si>
    <t xml:space="preserve">Rights Issue </t>
  </si>
  <si>
    <t>Expenses of Rights Issue written-off</t>
  </si>
  <si>
    <t>Net profit for the period</t>
  </si>
  <si>
    <t>Balance as at 31 March 2008</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</si>
  <si>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</si>
  <si>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</si>
  <si>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</si>
  <si>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</si>
  <si>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</si>
  <si>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</si>
  <si>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</si>
  <si>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</si>
  <si>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</si>
  <si>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</si>
  <si>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</si>
  <si>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</si>
  <si>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</si>
  <si>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</si>
  <si>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</si>
  <si>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</si>
  <si>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</si>
  <si>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</si>
  <si>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</si>
  <si>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</si>
  <si>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</si>
  <si>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31.03.08</t>
  </si>
  <si>
    <t>Quarter Ended 31.03.07</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</si>
  <si>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</si>
  <si>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</si>
  <si>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</si>
  <si>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</si>
  <si>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</si>
  <si>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</si>
  <si>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</si>
  <si>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</si>
  <si>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</si>
  <si>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Current </t>
  </si>
  <si>
    <t>RM '000</t>
  </si>
  <si>
    <t>Malaysia</t>
  </si>
  <si>
    <t xml:space="preserve">Europe </t>
  </si>
  <si>
    <t>America</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</si>
  <si>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</si>
  <si>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</si>
  <si>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</si>
  <si>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</si>
  <si>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</si>
  <si>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</si>
  <si>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</si>
  <si>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</si>
  <si>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</si>
  <si>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</si>
  <si>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</si>
  <si>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</si>
  <si>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</si>
  <si>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</si>
  <si>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31 December 2007 are as follows:</t>
  </si>
  <si>
    <t xml:space="preserve">As at </t>
  </si>
  <si>
    <t>Approved and contracted for</t>
  </si>
  <si>
    <t>Approved but not contracted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</si>
  <si>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</si>
  <si>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</si>
  <si>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</si>
  <si>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</si>
  <si>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</si>
  <si>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</si>
  <si>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</si>
  <si>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</si>
  <si>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</si>
  <si>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</si>
  <si>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 xml:space="preserve">Current Tax </t>
  </si>
  <si>
    <t xml:space="preserve">Deferred Tax </t>
  </si>
  <si>
    <t>B5</t>
  </si>
  <si>
    <t>Sales of Unquoted Investments and/or Properties</t>
  </si>
  <si>
    <t>B6</t>
  </si>
  <si>
    <t>Purchase or Disposal of Quoted Securities</t>
  </si>
  <si>
    <t>B7</t>
  </si>
  <si>
    <t>Corporate Proposal</t>
  </si>
  <si>
    <t>B8</t>
  </si>
  <si>
    <t>Group Borrowings and Debt Securities</t>
  </si>
  <si>
    <t>Total Group borrowings as at 31 December 2007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</si>
  <si>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</si>
  <si>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</si>
  <si>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</si>
  <si>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</si>
  <si>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</si>
  <si>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</si>
  <si>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</si>
  <si>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</si>
  <si>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</si>
  <si>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</si>
  <si>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</si>
  <si>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</si>
  <si>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earnings per share for the current quarter and cumulative year to date are computed as follows:</t>
  </si>
  <si>
    <t>Individual</t>
  </si>
  <si>
    <t xml:space="preserve">Profit attributable to ordinary </t>
  </si>
  <si>
    <t>equity holders of the parent (RM'000)</t>
  </si>
  <si>
    <t>Weighted average number of ordinary</t>
  </si>
  <si>
    <t xml:space="preserve">   shares of RM0.50 each in issue ('000)</t>
  </si>
  <si>
    <t>Basic Earnings Per Share (sen)</t>
  </si>
  <si>
    <t>Effects of share options ('000)</t>
  </si>
  <si>
    <t>Adjusted weighted average number of ordinary</t>
  </si>
  <si>
    <t>Diluted Earnings Per Share (sen)</t>
  </si>
  <si>
    <t>B13</t>
  </si>
  <si>
    <t>Utilisation of Proceeds</t>
  </si>
  <si>
    <t>Utilisation of</t>
  </si>
  <si>
    <t>proceeds as</t>
  </si>
  <si>
    <t>Proceeds</t>
  </si>
  <si>
    <t>disclosed in</t>
  </si>
  <si>
    <t>Utilisation</t>
  </si>
  <si>
    <t>prospectus</t>
  </si>
  <si>
    <t>Capital expenditure</t>
  </si>
  <si>
    <t>Repayment of bank borrowings</t>
  </si>
  <si>
    <t>Working capital</t>
  </si>
  <si>
    <t>Expenses for the rights issue</t>
  </si>
  <si>
    <t>Deposits in bank</t>
  </si>
  <si>
    <t>**</t>
  </si>
  <si>
    <t>Amount being placed in deposits in bank to generate interest income, in the process of planning</t>
  </si>
  <si>
    <t>to fund for the Group's capital expenditure and working capital.</t>
  </si>
  <si>
    <t xml:space="preserve">PART C: STATUS OF COMPLIANCE WITH CONDITIONS IMPOSED BY THE </t>
  </si>
  <si>
    <t>SECURITIES COMMISSION</t>
  </si>
  <si>
    <t>C1</t>
  </si>
</sst>
</file>

<file path=xl/styles.xml><?xml version="1.0" encoding="utf-8"?>
<styleSheet xmlns="http://schemas.openxmlformats.org/spreadsheetml/2006/main">
  <numFmts count="2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_);_(@_)"/>
    <numFmt numFmtId="173" formatCode="_(* #,##0.00_);_(* \(#,##0.00\);_(* \-??_);_(@_)"/>
    <numFmt numFmtId="174" formatCode="_(* #,##0.0_);_(* \(#,##0.0\);_(* \-??_);_(@_)"/>
    <numFmt numFmtId="175" formatCode="_(* #,##0_);_(* \(#,##0\);_(* \-_);_(@_)"/>
    <numFmt numFmtId="176" formatCode="_(* #,##0.00_);_(* \(#,##0.00\);_(* \-_);_(@_)"/>
  </numFmts>
  <fonts count="16">
    <font>
      <sz val="10"/>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63"/>
      <name val="Times New Roman"/>
      <family val="1"/>
    </font>
    <font>
      <sz val="10"/>
      <color indexed="10"/>
      <name val="Times New Roman"/>
      <family val="1"/>
    </font>
    <font>
      <b/>
      <u val="single"/>
      <sz val="10"/>
      <color indexed="8"/>
      <name val="Times New Roman"/>
      <family val="1"/>
    </font>
    <font>
      <b/>
      <sz val="10"/>
      <color indexed="8"/>
      <name val="Times New Roman"/>
      <family val="1"/>
    </font>
    <font>
      <b/>
      <sz val="10"/>
      <name val="Times New Roman"/>
      <family val="1"/>
    </font>
    <font>
      <u val="single"/>
      <sz val="10"/>
      <name val="Times New Roman"/>
      <family val="1"/>
    </font>
    <font>
      <b/>
      <u val="single"/>
      <sz val="10"/>
      <name val="Times New Roman"/>
      <family val="1"/>
    </font>
    <font>
      <b/>
      <sz val="10"/>
      <name val="Arial"/>
      <family val="2"/>
    </font>
    <font>
      <b/>
      <i/>
      <sz val="10"/>
      <name val="Arial"/>
      <family val="2"/>
    </font>
    <font>
      <b/>
      <i/>
      <sz val="10"/>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09">
    <xf numFmtId="0" fontId="0" fillId="0" borderId="0" xfId="0" applyAlignment="1">
      <alignment/>
    </xf>
    <xf numFmtId="0" fontId="2" fillId="0" borderId="0" xfId="20" applyFont="1" applyFill="1" applyAlignment="1">
      <alignment/>
      <protection/>
    </xf>
    <xf numFmtId="0" fontId="3" fillId="0" borderId="0" xfId="20" applyFont="1" applyFill="1">
      <alignment/>
      <protection/>
    </xf>
    <xf numFmtId="0" fontId="3" fillId="0" borderId="0" xfId="20" applyFont="1" applyFill="1" applyAlignment="1">
      <alignment horizontal="center"/>
      <protection/>
    </xf>
    <xf numFmtId="0" fontId="2" fillId="0" borderId="0" xfId="20" applyFont="1" applyFill="1" applyAlignment="1">
      <alignment horizontal="left"/>
      <protection/>
    </xf>
    <xf numFmtId="0" fontId="2" fillId="0" borderId="0" xfId="20" applyFont="1" applyFill="1" applyAlignment="1">
      <alignment horizontal="center"/>
      <protection/>
    </xf>
    <xf numFmtId="0" fontId="2" fillId="0" borderId="0" xfId="20" applyFont="1" applyFill="1">
      <alignment/>
      <protection/>
    </xf>
    <xf numFmtId="172" fontId="3" fillId="0" borderId="0" xfId="15" applyNumberFormat="1" applyFont="1" applyFill="1" applyBorder="1" applyAlignment="1" applyProtection="1">
      <alignment/>
      <protection/>
    </xf>
    <xf numFmtId="172" fontId="3" fillId="0" borderId="0" xfId="15" applyNumberFormat="1" applyFont="1" applyFill="1" applyBorder="1" applyAlignment="1" applyProtection="1">
      <alignment horizontal="right"/>
      <protection/>
    </xf>
    <xf numFmtId="172" fontId="3" fillId="0" borderId="1" xfId="15" applyNumberFormat="1" applyFont="1" applyFill="1" applyBorder="1" applyAlignment="1" applyProtection="1">
      <alignment horizontal="right"/>
      <protection/>
    </xf>
    <xf numFmtId="9" fontId="3" fillId="0" borderId="0" xfId="21" applyFont="1" applyFill="1" applyBorder="1" applyAlignment="1" applyProtection="1">
      <alignment horizontal="right"/>
      <protection/>
    </xf>
    <xf numFmtId="171" fontId="3" fillId="0" borderId="0" xfId="15" applyFont="1" applyFill="1" applyBorder="1" applyAlignment="1" applyProtection="1">
      <alignment horizontal="right"/>
      <protection/>
    </xf>
    <xf numFmtId="172" fontId="3" fillId="0" borderId="2" xfId="15" applyNumberFormat="1" applyFont="1" applyFill="1" applyBorder="1" applyAlignment="1" applyProtection="1">
      <alignment horizontal="right"/>
      <protection/>
    </xf>
    <xf numFmtId="172" fontId="3" fillId="0" borderId="3" xfId="15" applyNumberFormat="1" applyFont="1" applyFill="1" applyBorder="1" applyAlignment="1" applyProtection="1">
      <alignment horizontal="right"/>
      <protection/>
    </xf>
    <xf numFmtId="172" fontId="3" fillId="0" borderId="4" xfId="15" applyNumberFormat="1" applyFont="1" applyFill="1" applyBorder="1" applyAlignment="1" applyProtection="1">
      <alignment horizontal="right"/>
      <protection/>
    </xf>
    <xf numFmtId="0" fontId="3" fillId="0" borderId="0" xfId="20" applyFont="1" applyFill="1" applyAlignment="1">
      <alignment wrapText="1"/>
      <protection/>
    </xf>
    <xf numFmtId="173" fontId="3" fillId="0" borderId="3" xfId="15" applyNumberFormat="1" applyFont="1" applyFill="1" applyBorder="1" applyAlignment="1" applyProtection="1">
      <alignment horizontal="right"/>
      <protection/>
    </xf>
    <xf numFmtId="174" fontId="3" fillId="0" borderId="0" xfId="15" applyNumberFormat="1" applyFont="1" applyFill="1" applyBorder="1" applyAlignment="1" applyProtection="1">
      <alignment horizontal="right"/>
      <protection/>
    </xf>
    <xf numFmtId="16" fontId="3" fillId="0" borderId="0" xfId="20" applyNumberFormat="1" applyFont="1" applyFill="1" applyAlignment="1">
      <alignment horizontal="center"/>
      <protection/>
    </xf>
    <xf numFmtId="172" fontId="2" fillId="0" borderId="0" xfId="15" applyNumberFormat="1" applyFont="1" applyFill="1" applyBorder="1" applyAlignment="1" applyProtection="1">
      <alignment/>
      <protection/>
    </xf>
    <xf numFmtId="172" fontId="3" fillId="0" borderId="5" xfId="15" applyNumberFormat="1" applyFont="1" applyFill="1" applyBorder="1" applyAlignment="1" applyProtection="1">
      <alignment/>
      <protection/>
    </xf>
    <xf numFmtId="172" fontId="3" fillId="0" borderId="5" xfId="15" applyNumberFormat="1" applyFont="1" applyFill="1" applyBorder="1" applyAlignment="1" applyProtection="1">
      <alignment horizontal="right"/>
      <protection/>
    </xf>
    <xf numFmtId="172" fontId="3" fillId="0" borderId="6" xfId="15" applyNumberFormat="1" applyFont="1" applyFill="1" applyBorder="1" applyAlignment="1" applyProtection="1">
      <alignment/>
      <protection/>
    </xf>
    <xf numFmtId="172" fontId="3" fillId="0" borderId="6" xfId="15" applyNumberFormat="1" applyFont="1" applyFill="1" applyBorder="1" applyAlignment="1" applyProtection="1">
      <alignment horizontal="right"/>
      <protection/>
    </xf>
    <xf numFmtId="172" fontId="3" fillId="0" borderId="7" xfId="15" applyNumberFormat="1" applyFont="1" applyFill="1" applyBorder="1" applyAlignment="1" applyProtection="1">
      <alignment/>
      <protection/>
    </xf>
    <xf numFmtId="172" fontId="3" fillId="0" borderId="7" xfId="15" applyNumberFormat="1" applyFont="1" applyFill="1" applyBorder="1" applyAlignment="1" applyProtection="1">
      <alignment horizontal="right"/>
      <protection/>
    </xf>
    <xf numFmtId="0" fontId="3" fillId="0" borderId="0" xfId="20" applyFont="1" applyFill="1" applyBorder="1">
      <alignment/>
      <protection/>
    </xf>
    <xf numFmtId="172" fontId="3" fillId="0" borderId="8" xfId="15" applyNumberFormat="1" applyFont="1" applyFill="1" applyBorder="1" applyAlignment="1" applyProtection="1">
      <alignment/>
      <protection/>
    </xf>
    <xf numFmtId="172" fontId="3" fillId="0" borderId="8" xfId="15" applyNumberFormat="1" applyFont="1" applyFill="1" applyBorder="1" applyAlignment="1" applyProtection="1">
      <alignment horizontal="right"/>
      <protection/>
    </xf>
    <xf numFmtId="172" fontId="3" fillId="0" borderId="4" xfId="15" applyNumberFormat="1" applyFont="1" applyFill="1" applyBorder="1" applyAlignment="1" applyProtection="1">
      <alignment/>
      <protection/>
    </xf>
    <xf numFmtId="0" fontId="3" fillId="0" borderId="0" xfId="20" applyFont="1" applyFill="1" applyAlignment="1">
      <alignment horizontal="right"/>
      <protection/>
    </xf>
    <xf numFmtId="172" fontId="3" fillId="0" borderId="0" xfId="20" applyNumberFormat="1" applyFont="1" applyFill="1" applyBorder="1">
      <alignment/>
      <protection/>
    </xf>
    <xf numFmtId="172" fontId="3" fillId="0" borderId="2" xfId="15" applyNumberFormat="1" applyFont="1" applyFill="1" applyBorder="1" applyAlignment="1" applyProtection="1">
      <alignment/>
      <protection/>
    </xf>
    <xf numFmtId="172" fontId="2" fillId="0" borderId="0" xfId="20" applyNumberFormat="1" applyFont="1" applyFill="1">
      <alignment/>
      <protection/>
    </xf>
    <xf numFmtId="172" fontId="2" fillId="0" borderId="0" xfId="20" applyNumberFormat="1" applyFont="1" applyFill="1" applyAlignment="1">
      <alignment horizontal="right"/>
      <protection/>
    </xf>
    <xf numFmtId="173" fontId="2" fillId="0" borderId="9" xfId="15" applyNumberFormat="1" applyFont="1" applyFill="1" applyBorder="1" applyAlignment="1" applyProtection="1">
      <alignment/>
      <protection/>
    </xf>
    <xf numFmtId="0" fontId="2" fillId="0" borderId="0" xfId="20" applyFont="1" applyFill="1" applyAlignment="1">
      <alignment horizontal="right"/>
      <protection/>
    </xf>
    <xf numFmtId="173" fontId="2" fillId="0" borderId="9" xfId="15" applyNumberFormat="1" applyFont="1" applyFill="1" applyBorder="1" applyAlignment="1" applyProtection="1">
      <alignment horizontal="right"/>
      <protection/>
    </xf>
    <xf numFmtId="15" fontId="3" fillId="0" borderId="0" xfId="20" applyNumberFormat="1" applyFont="1" applyFill="1" applyAlignment="1">
      <alignment horizontal="center"/>
      <protection/>
    </xf>
    <xf numFmtId="175" fontId="3" fillId="0" borderId="0" xfId="15" applyNumberFormat="1" applyFont="1" applyFill="1" applyBorder="1" applyAlignment="1" applyProtection="1">
      <alignment/>
      <protection/>
    </xf>
    <xf numFmtId="37" fontId="3" fillId="0" borderId="0" xfId="15" applyNumberFormat="1" applyFont="1" applyFill="1" applyBorder="1" applyAlignment="1" applyProtection="1">
      <alignment/>
      <protection/>
    </xf>
    <xf numFmtId="175" fontId="3" fillId="0" borderId="1" xfId="15" applyNumberFormat="1" applyFont="1" applyFill="1" applyBorder="1" applyAlignment="1" applyProtection="1">
      <alignment/>
      <protection/>
    </xf>
    <xf numFmtId="175" fontId="3" fillId="0" borderId="0" xfId="15" applyNumberFormat="1" applyFont="1" applyFill="1" applyBorder="1" applyAlignment="1" applyProtection="1">
      <alignment horizontal="right"/>
      <protection/>
    </xf>
    <xf numFmtId="175" fontId="3" fillId="0" borderId="4" xfId="15" applyNumberFormat="1" applyFont="1" applyFill="1" applyBorder="1" applyAlignment="1" applyProtection="1">
      <alignment/>
      <protection/>
    </xf>
    <xf numFmtId="0" fontId="4" fillId="0" borderId="0" xfId="20" applyFont="1" applyFill="1">
      <alignment/>
      <protection/>
    </xf>
    <xf numFmtId="40" fontId="3" fillId="0" borderId="0" xfId="15" applyNumberFormat="1" applyFont="1" applyFill="1" applyBorder="1" applyAlignment="1" applyProtection="1">
      <alignment/>
      <protection/>
    </xf>
    <xf numFmtId="172" fontId="3" fillId="0" borderId="0" xfId="15" applyNumberFormat="1" applyFont="1" applyFill="1" applyBorder="1" applyAlignment="1" applyProtection="1">
      <alignment horizontal="center"/>
      <protection/>
    </xf>
    <xf numFmtId="172" fontId="2" fillId="0" borderId="0" xfId="15" applyNumberFormat="1" applyFont="1" applyFill="1" applyBorder="1" applyAlignment="1" applyProtection="1">
      <alignment horizontal="right"/>
      <protection/>
    </xf>
    <xf numFmtId="172" fontId="3" fillId="0" borderId="10" xfId="15" applyNumberFormat="1" applyFont="1" applyFill="1" applyBorder="1" applyAlignment="1" applyProtection="1">
      <alignment/>
      <protection/>
    </xf>
    <xf numFmtId="172" fontId="3" fillId="0" borderId="11" xfId="15" applyNumberFormat="1" applyFont="1" applyFill="1" applyBorder="1" applyAlignment="1" applyProtection="1">
      <alignment horizontal="right"/>
      <protection/>
    </xf>
    <xf numFmtId="172" fontId="3" fillId="0" borderId="12" xfId="15" applyNumberFormat="1" applyFont="1" applyFill="1" applyBorder="1" applyAlignment="1" applyProtection="1">
      <alignment/>
      <protection/>
    </xf>
    <xf numFmtId="172" fontId="3" fillId="0" borderId="1" xfId="15" applyNumberFormat="1" applyFont="1" applyFill="1" applyBorder="1" applyAlignment="1" applyProtection="1">
      <alignment/>
      <protection/>
    </xf>
    <xf numFmtId="172" fontId="3" fillId="0" borderId="13" xfId="15" applyNumberFormat="1" applyFont="1" applyFill="1" applyBorder="1" applyAlignment="1" applyProtection="1">
      <alignment horizontal="right"/>
      <protection/>
    </xf>
    <xf numFmtId="172" fontId="3" fillId="0" borderId="14" xfId="15" applyNumberFormat="1" applyFont="1" applyFill="1" applyBorder="1" applyAlignment="1" applyProtection="1">
      <alignment/>
      <protection/>
    </xf>
    <xf numFmtId="172" fontId="3" fillId="0" borderId="15" xfId="15" applyNumberFormat="1" applyFont="1" applyFill="1" applyBorder="1" applyAlignment="1" applyProtection="1">
      <alignment horizontal="right"/>
      <protection/>
    </xf>
    <xf numFmtId="172" fontId="3" fillId="0" borderId="1" xfId="15" applyNumberFormat="1" applyFont="1" applyFill="1" applyBorder="1" applyAlignment="1" applyProtection="1">
      <alignment horizontal="center"/>
      <protection/>
    </xf>
    <xf numFmtId="172" fontId="3" fillId="0" borderId="16" xfId="15" applyNumberFormat="1" applyFont="1" applyFill="1" applyBorder="1" applyAlignment="1" applyProtection="1">
      <alignment/>
      <protection/>
    </xf>
    <xf numFmtId="172" fontId="3" fillId="0" borderId="17" xfId="15" applyNumberFormat="1" applyFont="1" applyFill="1" applyBorder="1" applyAlignment="1" applyProtection="1">
      <alignment horizontal="right"/>
      <protection/>
    </xf>
    <xf numFmtId="172" fontId="2" fillId="0" borderId="4" xfId="15" applyNumberFormat="1" applyFont="1" applyFill="1" applyBorder="1" applyAlignment="1" applyProtection="1">
      <alignment/>
      <protection/>
    </xf>
    <xf numFmtId="0" fontId="10" fillId="0" borderId="0" xfId="20" applyFont="1" applyFill="1" applyAlignment="1">
      <alignment/>
      <protection/>
    </xf>
    <xf numFmtId="0" fontId="1" fillId="0" borderId="0" xfId="20" applyFont="1" applyFill="1">
      <alignment/>
      <protection/>
    </xf>
    <xf numFmtId="0" fontId="1" fillId="0" borderId="0" xfId="20" applyFont="1" applyFill="1" applyBorder="1">
      <alignment/>
      <protection/>
    </xf>
    <xf numFmtId="0" fontId="10" fillId="0" borderId="0" xfId="20" applyFont="1" applyFill="1" applyAlignment="1">
      <alignment horizontal="left"/>
      <protection/>
    </xf>
    <xf numFmtId="0" fontId="10" fillId="0" borderId="0" xfId="20" applyFont="1" applyFill="1">
      <alignment/>
      <protection/>
    </xf>
    <xf numFmtId="0" fontId="1" fillId="0" borderId="0" xfId="19" applyFont="1" applyFill="1">
      <alignment/>
      <protection/>
    </xf>
    <xf numFmtId="0" fontId="1" fillId="0" borderId="0" xfId="19" applyFont="1" applyFill="1" applyAlignment="1">
      <alignment horizontal="center"/>
      <protection/>
    </xf>
    <xf numFmtId="0" fontId="1" fillId="0" borderId="0" xfId="19" applyFont="1" applyFill="1" applyBorder="1" applyAlignment="1">
      <alignment horizontal="center"/>
      <protection/>
    </xf>
    <xf numFmtId="0" fontId="1" fillId="0" borderId="0" xfId="20" applyFont="1" applyFill="1" applyBorder="1" applyAlignment="1">
      <alignment horizontal="center"/>
      <protection/>
    </xf>
    <xf numFmtId="0" fontId="1" fillId="0" borderId="0" xfId="19" applyFont="1" applyFill="1" applyBorder="1">
      <alignment/>
      <protection/>
    </xf>
    <xf numFmtId="0" fontId="11" fillId="0" borderId="0" xfId="19" applyFont="1" applyFill="1" applyBorder="1" applyAlignment="1">
      <alignment horizontal="center"/>
      <protection/>
    </xf>
    <xf numFmtId="0" fontId="1" fillId="0" borderId="0" xfId="19" applyFont="1" applyFill="1" applyBorder="1" applyAlignment="1">
      <alignment horizontal="center" wrapText="1"/>
      <protection/>
    </xf>
    <xf numFmtId="0" fontId="1" fillId="0" borderId="0" xfId="20" applyFont="1" applyFill="1" applyBorder="1" applyAlignment="1">
      <alignment horizontal="center" wrapText="1"/>
      <protection/>
    </xf>
    <xf numFmtId="0" fontId="1" fillId="0" borderId="0" xfId="20" applyFont="1" applyFill="1" applyAlignment="1">
      <alignment horizontal="center"/>
      <protection/>
    </xf>
    <xf numFmtId="175" fontId="1" fillId="0" borderId="0" xfId="19" applyNumberFormat="1" applyFont="1" applyFill="1" applyBorder="1" applyAlignment="1">
      <alignment horizontal="center"/>
      <protection/>
    </xf>
    <xf numFmtId="171" fontId="1" fillId="0" borderId="0" xfId="15" applyFont="1" applyFill="1" applyBorder="1" applyAlignment="1" applyProtection="1">
      <alignment/>
      <protection/>
    </xf>
    <xf numFmtId="175" fontId="1" fillId="0" borderId="0" xfId="20" applyNumberFormat="1" applyFont="1" applyFill="1" applyBorder="1" applyAlignment="1">
      <alignment horizontal="center"/>
      <protection/>
    </xf>
    <xf numFmtId="175" fontId="1" fillId="0" borderId="9" xfId="19" applyNumberFormat="1" applyFont="1" applyFill="1" applyBorder="1" applyAlignment="1">
      <alignment horizontal="center"/>
      <protection/>
    </xf>
    <xf numFmtId="175" fontId="1" fillId="0" borderId="9" xfId="20" applyNumberFormat="1" applyFont="1" applyFill="1" applyBorder="1" applyAlignment="1">
      <alignment horizontal="center"/>
      <protection/>
    </xf>
    <xf numFmtId="0" fontId="12" fillId="0" borderId="0" xfId="19" applyFont="1" applyFill="1" applyBorder="1">
      <alignment/>
      <protection/>
    </xf>
    <xf numFmtId="175" fontId="1" fillId="0" borderId="18" xfId="20" applyNumberFormat="1" applyFont="1" applyFill="1" applyBorder="1" applyAlignment="1">
      <alignment horizontal="center"/>
      <protection/>
    </xf>
    <xf numFmtId="0" fontId="0" fillId="0" borderId="0" xfId="0" applyFont="1" applyFill="1" applyBorder="1" applyAlignment="1">
      <alignment/>
    </xf>
    <xf numFmtId="37" fontId="0" fillId="0" borderId="0" xfId="15" applyNumberFormat="1" applyFont="1" applyFill="1" applyBorder="1" applyAlignment="1" applyProtection="1">
      <alignment/>
      <protection/>
    </xf>
    <xf numFmtId="9" fontId="1" fillId="0" borderId="0" xfId="21" applyFont="1" applyFill="1" applyBorder="1" applyAlignment="1" applyProtection="1">
      <alignment/>
      <protection/>
    </xf>
    <xf numFmtId="175" fontId="1" fillId="0" borderId="0" xfId="21" applyNumberFormat="1" applyFont="1" applyFill="1" applyBorder="1" applyAlignment="1" applyProtection="1">
      <alignment horizontal="right"/>
      <protection/>
    </xf>
    <xf numFmtId="37" fontId="13" fillId="0" borderId="0" xfId="15" applyNumberFormat="1" applyFont="1" applyFill="1" applyBorder="1" applyAlignment="1" applyProtection="1">
      <alignment/>
      <protection/>
    </xf>
    <xf numFmtId="175" fontId="1" fillId="0" borderId="4" xfId="20" applyNumberFormat="1" applyFont="1" applyFill="1" applyBorder="1">
      <alignment/>
      <protection/>
    </xf>
    <xf numFmtId="9" fontId="1" fillId="0" borderId="0" xfId="20" applyNumberFormat="1" applyFont="1" applyFill="1">
      <alignment/>
      <protection/>
    </xf>
    <xf numFmtId="37" fontId="14" fillId="0" borderId="0" xfId="15" applyNumberFormat="1" applyFont="1" applyFill="1" applyBorder="1" applyAlignment="1" applyProtection="1">
      <alignment/>
      <protection/>
    </xf>
    <xf numFmtId="172" fontId="0" fillId="0" borderId="0" xfId="15" applyNumberFormat="1" applyFont="1" applyFill="1" applyBorder="1" applyAlignment="1" applyProtection="1">
      <alignment horizontal="center"/>
      <protection/>
    </xf>
    <xf numFmtId="172" fontId="1" fillId="0" borderId="0" xfId="20" applyNumberFormat="1" applyFont="1" applyFill="1">
      <alignment/>
      <protection/>
    </xf>
    <xf numFmtId="175" fontId="1" fillId="0" borderId="0" xfId="20" applyNumberFormat="1" applyFont="1" applyFill="1">
      <alignment/>
      <protection/>
    </xf>
    <xf numFmtId="0" fontId="12" fillId="0" borderId="0" xfId="20" applyFont="1" applyFill="1">
      <alignment/>
      <protection/>
    </xf>
    <xf numFmtId="0" fontId="15" fillId="0" borderId="0" xfId="20" applyFont="1" applyFill="1">
      <alignment/>
      <protection/>
    </xf>
    <xf numFmtId="175" fontId="1" fillId="0" borderId="0" xfId="20" applyNumberFormat="1" applyFont="1" applyFill="1" applyBorder="1">
      <alignment/>
      <protection/>
    </xf>
    <xf numFmtId="172" fontId="1" fillId="0" borderId="4" xfId="15" applyNumberFormat="1" applyFont="1" applyFill="1" applyBorder="1" applyAlignment="1" applyProtection="1">
      <alignment horizontal="center"/>
      <protection/>
    </xf>
    <xf numFmtId="176" fontId="1" fillId="0" borderId="0" xfId="20" applyNumberFormat="1" applyFont="1" applyFill="1" applyBorder="1" applyAlignment="1">
      <alignment horizontal="center"/>
      <protection/>
    </xf>
    <xf numFmtId="175" fontId="1" fillId="0" borderId="0" xfId="20" applyNumberFormat="1" applyFont="1" applyFill="1" applyAlignment="1">
      <alignment horizontal="center"/>
      <protection/>
    </xf>
    <xf numFmtId="15" fontId="1" fillId="0" borderId="0" xfId="20" applyNumberFormat="1" applyFont="1" applyFill="1" applyAlignment="1">
      <alignment horizontal="center"/>
      <protection/>
    </xf>
    <xf numFmtId="15" fontId="1" fillId="0" borderId="0" xfId="20" applyNumberFormat="1" applyFont="1" applyFill="1" applyBorder="1" applyAlignment="1">
      <alignment horizontal="center"/>
      <protection/>
    </xf>
    <xf numFmtId="172" fontId="1" fillId="0" borderId="3" xfId="15" applyNumberFormat="1" applyFont="1" applyFill="1" applyBorder="1" applyAlignment="1" applyProtection="1">
      <alignment/>
      <protection/>
    </xf>
    <xf numFmtId="171" fontId="1" fillId="0" borderId="3" xfId="15" applyFont="1" applyFill="1" applyBorder="1" applyAlignment="1" applyProtection="1">
      <alignment/>
      <protection/>
    </xf>
    <xf numFmtId="172" fontId="1" fillId="0" borderId="0" xfId="15" applyNumberFormat="1" applyFont="1" applyFill="1" applyBorder="1" applyAlignment="1" applyProtection="1">
      <alignment/>
      <protection/>
    </xf>
    <xf numFmtId="172" fontId="1" fillId="0" borderId="1" xfId="15" applyNumberFormat="1" applyFont="1" applyFill="1" applyBorder="1" applyAlignment="1" applyProtection="1">
      <alignment/>
      <protection/>
    </xf>
    <xf numFmtId="14" fontId="1" fillId="0" borderId="0" xfId="20" applyNumberFormat="1" applyFont="1" applyFill="1">
      <alignment/>
      <protection/>
    </xf>
    <xf numFmtId="0" fontId="3" fillId="0" borderId="0" xfId="20" applyFont="1" applyFill="1" applyBorder="1" applyAlignment="1">
      <alignment horizontal="center"/>
      <protection/>
    </xf>
    <xf numFmtId="0" fontId="10" fillId="0" borderId="0" xfId="19" applyFont="1" applyFill="1" applyBorder="1" applyAlignment="1">
      <alignment horizontal="left" wrapText="1"/>
      <protection/>
    </xf>
    <xf numFmtId="0" fontId="1" fillId="0" borderId="0" xfId="19" applyFont="1" applyFill="1" applyBorder="1" applyAlignment="1">
      <alignment horizontal="center"/>
      <protection/>
    </xf>
    <xf numFmtId="0" fontId="1" fillId="0" borderId="0" xfId="20" applyFont="1" applyFill="1" applyBorder="1" applyAlignment="1">
      <alignment horizontal="center"/>
      <protection/>
    </xf>
    <xf numFmtId="0" fontId="1" fillId="0" borderId="0" xfId="19" applyFont="1" applyFill="1" applyBorder="1" applyAlignment="1">
      <alignment horizontal="center" wrapText="1"/>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76200</xdr:colOff>
      <xdr:row>1</xdr:row>
      <xdr:rowOff>57150</xdr:rowOff>
    </xdr:to>
    <xdr:sp fLocksText="0">
      <xdr:nvSpPr>
        <xdr:cNvPr id="1" name="TextBox 1"/>
        <xdr:cNvSpPr txBox="1">
          <a:spLocks noChangeArrowheads="1"/>
        </xdr:cNvSpPr>
      </xdr:nvSpPr>
      <xdr:spPr>
        <a:xfrm>
          <a:off x="3457575" y="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352425</xdr:colOff>
      <xdr:row>48</xdr:row>
      <xdr:rowOff>142875</xdr:rowOff>
    </xdr:from>
    <xdr:to>
      <xdr:col>1</xdr:col>
      <xdr:colOff>457200</xdr:colOff>
      <xdr:row>50</xdr:row>
      <xdr:rowOff>57150</xdr:rowOff>
    </xdr:to>
    <xdr:sp fLocksText="0">
      <xdr:nvSpPr>
        <xdr:cNvPr id="2" name="TextBox 2"/>
        <xdr:cNvSpPr txBox="1">
          <a:spLocks noChangeArrowheads="1"/>
        </xdr:cNvSpPr>
      </xdr:nvSpPr>
      <xdr:spPr>
        <a:xfrm>
          <a:off x="2971800" y="6496050"/>
          <a:ext cx="104775"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51</xdr:row>
      <xdr:rowOff>28575</xdr:rowOff>
    </xdr:from>
    <xdr:to>
      <xdr:col>8</xdr:col>
      <xdr:colOff>9525</xdr:colOff>
      <xdr:row>54</xdr:row>
      <xdr:rowOff>142875</xdr:rowOff>
    </xdr:to>
    <xdr:sp fLocksText="0">
      <xdr:nvSpPr>
        <xdr:cNvPr id="3" name="TextBox 3"/>
        <xdr:cNvSpPr txBox="1">
          <a:spLocks noChangeArrowheads="1"/>
        </xdr:cNvSpPr>
      </xdr:nvSpPr>
      <xdr:spPr>
        <a:xfrm>
          <a:off x="9525" y="6867525"/>
          <a:ext cx="6105525" cy="6000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unaudited Condensed Consolidated Income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1</xdr:col>
      <xdr:colOff>352425</xdr:colOff>
      <xdr:row>56</xdr:row>
      <xdr:rowOff>0</xdr:rowOff>
    </xdr:from>
    <xdr:to>
      <xdr:col>1</xdr:col>
      <xdr:colOff>457200</xdr:colOff>
      <xdr:row>57</xdr:row>
      <xdr:rowOff>66675</xdr:rowOff>
    </xdr:to>
    <xdr:sp fLocksText="0">
      <xdr:nvSpPr>
        <xdr:cNvPr id="4" name="TextBox 4"/>
        <xdr:cNvSpPr txBox="1">
          <a:spLocks noChangeArrowheads="1"/>
        </xdr:cNvSpPr>
      </xdr:nvSpPr>
      <xdr:spPr>
        <a:xfrm>
          <a:off x="2971800" y="7648575"/>
          <a:ext cx="104775"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46</xdr:row>
      <xdr:rowOff>9525</xdr:rowOff>
    </xdr:from>
    <xdr:to>
      <xdr:col>1</xdr:col>
      <xdr:colOff>447675</xdr:colOff>
      <xdr:row>46</xdr:row>
      <xdr:rowOff>142875</xdr:rowOff>
    </xdr:to>
    <xdr:sp fLocksText="0">
      <xdr:nvSpPr>
        <xdr:cNvPr id="1" name="TextBox 1"/>
        <xdr:cNvSpPr txBox="1">
          <a:spLocks noChangeArrowheads="1"/>
        </xdr:cNvSpPr>
      </xdr:nvSpPr>
      <xdr:spPr>
        <a:xfrm>
          <a:off x="4905375" y="6524625"/>
          <a:ext cx="95250" cy="1333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47</xdr:row>
      <xdr:rowOff>9525</xdr:rowOff>
    </xdr:from>
    <xdr:to>
      <xdr:col>5</xdr:col>
      <xdr:colOff>38100</xdr:colOff>
      <xdr:row>50</xdr:row>
      <xdr:rowOff>133350</xdr:rowOff>
    </xdr:to>
    <xdr:sp fLocksText="0">
      <xdr:nvSpPr>
        <xdr:cNvPr id="2" name="TextBox 2"/>
        <xdr:cNvSpPr txBox="1">
          <a:spLocks noChangeArrowheads="1"/>
        </xdr:cNvSpPr>
      </xdr:nvSpPr>
      <xdr:spPr>
        <a:xfrm>
          <a:off x="0" y="6667500"/>
          <a:ext cx="6486525" cy="5524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unaudited Condensed Consolidated Balance Sheet should be read in conjunction with the Annual Financial Statements for the year ended 31 December 2007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47625</xdr:rowOff>
    </xdr:from>
    <xdr:to>
      <xdr:col>5</xdr:col>
      <xdr:colOff>66675</xdr:colOff>
      <xdr:row>59</xdr:row>
      <xdr:rowOff>152400</xdr:rowOff>
    </xdr:to>
    <xdr:sp fLocksText="0">
      <xdr:nvSpPr>
        <xdr:cNvPr id="1" name="TextBox 1"/>
        <xdr:cNvSpPr txBox="1">
          <a:spLocks noChangeArrowheads="1"/>
        </xdr:cNvSpPr>
      </xdr:nvSpPr>
      <xdr:spPr>
        <a:xfrm>
          <a:off x="0" y="8372475"/>
          <a:ext cx="5667375" cy="42862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unaudited Condensed Consolidated Statement of Changes In Equity should be read in conjunction with the Annual Financial Statements for the year ended 31 December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0</xdr:rowOff>
    </xdr:from>
    <xdr:to>
      <xdr:col>2</xdr:col>
      <xdr:colOff>76200</xdr:colOff>
      <xdr:row>36</xdr:row>
      <xdr:rowOff>66675</xdr:rowOff>
    </xdr:to>
    <xdr:sp fLocksText="0">
      <xdr:nvSpPr>
        <xdr:cNvPr id="1" name="TextBox 1"/>
        <xdr:cNvSpPr txBox="1">
          <a:spLocks noChangeArrowheads="1"/>
        </xdr:cNvSpPr>
      </xdr:nvSpPr>
      <xdr:spPr>
        <a:xfrm>
          <a:off x="3495675" y="5057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35</xdr:row>
      <xdr:rowOff>28575</xdr:rowOff>
    </xdr:from>
    <xdr:to>
      <xdr:col>5</xdr:col>
      <xdr:colOff>57150</xdr:colOff>
      <xdr:row>38</xdr:row>
      <xdr:rowOff>133350</xdr:rowOff>
    </xdr:to>
    <xdr:sp fLocksText="0">
      <xdr:nvSpPr>
        <xdr:cNvPr id="2" name="TextBox 2"/>
        <xdr:cNvSpPr txBox="1">
          <a:spLocks noChangeArrowheads="1"/>
        </xdr:cNvSpPr>
      </xdr:nvSpPr>
      <xdr:spPr>
        <a:xfrm>
          <a:off x="47625" y="5086350"/>
          <a:ext cx="5448300" cy="5905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unaudited Condensed Consolidated Cash Flow Statement should be read in conjunction with the Annual Financial Statements for the year ended 31 December 2007 and the accompanying explanatory notes attached to the interim financial statements.</a:t>
          </a:r>
        </a:p>
      </xdr:txBody>
    </xdr:sp>
    <xdr:clientData/>
  </xdr:twoCellAnchor>
  <xdr:twoCellAnchor>
    <xdr:from>
      <xdr:col>2</xdr:col>
      <xdr:colOff>0</xdr:colOff>
      <xdr:row>39</xdr:row>
      <xdr:rowOff>0</xdr:rowOff>
    </xdr:from>
    <xdr:to>
      <xdr:col>2</xdr:col>
      <xdr:colOff>76200</xdr:colOff>
      <xdr:row>40</xdr:row>
      <xdr:rowOff>66675</xdr:rowOff>
    </xdr:to>
    <xdr:sp fLocksText="0">
      <xdr:nvSpPr>
        <xdr:cNvPr id="3" name="TextBox 3"/>
        <xdr:cNvSpPr txBox="1">
          <a:spLocks noChangeArrowheads="1"/>
        </xdr:cNvSpPr>
      </xdr:nvSpPr>
      <xdr:spPr>
        <a:xfrm>
          <a:off x="3495675" y="5705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0</xdr:rowOff>
    </xdr:from>
    <xdr:to>
      <xdr:col>8</xdr:col>
      <xdr:colOff>304800</xdr:colOff>
      <xdr:row>27</xdr:row>
      <xdr:rowOff>85725</xdr:rowOff>
    </xdr:to>
    <xdr:sp fLocksText="0">
      <xdr:nvSpPr>
        <xdr:cNvPr id="1" name="TextBox 1"/>
        <xdr:cNvSpPr txBox="1">
          <a:spLocks noChangeArrowheads="1"/>
        </xdr:cNvSpPr>
      </xdr:nvSpPr>
      <xdr:spPr>
        <a:xfrm>
          <a:off x="314325" y="4210050"/>
          <a:ext cx="5895975" cy="2476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auditors’ report  on the financial statements for the year ended 31 December 2007 was not qualified.</a:t>
          </a:r>
        </a:p>
      </xdr:txBody>
    </xdr:sp>
    <xdr:clientData/>
  </xdr:twoCellAnchor>
  <xdr:twoCellAnchor>
    <xdr:from>
      <xdr:col>1</xdr:col>
      <xdr:colOff>9525</xdr:colOff>
      <xdr:row>110</xdr:row>
      <xdr:rowOff>9525</xdr:rowOff>
    </xdr:from>
    <xdr:to>
      <xdr:col>8</xdr:col>
      <xdr:colOff>219075</xdr:colOff>
      <xdr:row>113</xdr:row>
      <xdr:rowOff>95250</xdr:rowOff>
    </xdr:to>
    <xdr:sp fLocksText="0">
      <xdr:nvSpPr>
        <xdr:cNvPr id="2" name="TextBox 2"/>
        <xdr:cNvSpPr txBox="1">
          <a:spLocks noChangeArrowheads="1"/>
        </xdr:cNvSpPr>
      </xdr:nvSpPr>
      <xdr:spPr>
        <a:xfrm>
          <a:off x="314325" y="18002250"/>
          <a:ext cx="5810250" cy="5715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There were no material events subsequent to the end of the current quarter, save for update on corporate proposal as disclosed in note B7 below.
</a:t>
          </a:r>
        </a:p>
      </xdr:txBody>
    </xdr:sp>
    <xdr:clientData/>
  </xdr:twoCellAnchor>
  <xdr:twoCellAnchor>
    <xdr:from>
      <xdr:col>1</xdr:col>
      <xdr:colOff>9525</xdr:colOff>
      <xdr:row>117</xdr:row>
      <xdr:rowOff>9525</xdr:rowOff>
    </xdr:from>
    <xdr:to>
      <xdr:col>8</xdr:col>
      <xdr:colOff>304800</xdr:colOff>
      <xdr:row>118</xdr:row>
      <xdr:rowOff>114300</xdr:rowOff>
    </xdr:to>
    <xdr:sp fLocksText="0">
      <xdr:nvSpPr>
        <xdr:cNvPr id="3" name="TextBox 3"/>
        <xdr:cNvSpPr txBox="1">
          <a:spLocks noChangeArrowheads="1"/>
        </xdr:cNvSpPr>
      </xdr:nvSpPr>
      <xdr:spPr>
        <a:xfrm>
          <a:off x="314325" y="19135725"/>
          <a:ext cx="5895975" cy="2667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1</xdr:col>
      <xdr:colOff>9525</xdr:colOff>
      <xdr:row>122</xdr:row>
      <xdr:rowOff>9525</xdr:rowOff>
    </xdr:from>
    <xdr:to>
      <xdr:col>8</xdr:col>
      <xdr:colOff>304800</xdr:colOff>
      <xdr:row>124</xdr:row>
      <xdr:rowOff>104775</xdr:rowOff>
    </xdr:to>
    <xdr:sp fLocksText="0">
      <xdr:nvSpPr>
        <xdr:cNvPr id="4" name="TextBox 4"/>
        <xdr:cNvSpPr txBox="1">
          <a:spLocks noChangeArrowheads="1"/>
        </xdr:cNvSpPr>
      </xdr:nvSpPr>
      <xdr:spPr>
        <a:xfrm>
          <a:off x="314325" y="19945350"/>
          <a:ext cx="5895975" cy="4191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There were no changes in contingent liabilities and contingent assets of a material nature since the last audited financial statements for the year ended 31 December 2007.</a:t>
          </a:r>
        </a:p>
      </xdr:txBody>
    </xdr:sp>
    <xdr:clientData/>
  </xdr:twoCellAnchor>
  <xdr:twoCellAnchor>
    <xdr:from>
      <xdr:col>1</xdr:col>
      <xdr:colOff>9525</xdr:colOff>
      <xdr:row>142</xdr:row>
      <xdr:rowOff>9525</xdr:rowOff>
    </xdr:from>
    <xdr:to>
      <xdr:col>8</xdr:col>
      <xdr:colOff>304800</xdr:colOff>
      <xdr:row>153</xdr:row>
      <xdr:rowOff>95250</xdr:rowOff>
    </xdr:to>
    <xdr:sp fLocksText="0">
      <xdr:nvSpPr>
        <xdr:cNvPr id="5" name="TextBox 5"/>
        <xdr:cNvSpPr txBox="1">
          <a:spLocks noChangeArrowheads="1"/>
        </xdr:cNvSpPr>
      </xdr:nvSpPr>
      <xdr:spPr>
        <a:xfrm>
          <a:off x="314325" y="23202900"/>
          <a:ext cx="5895975" cy="18669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Times New Roman"/>
              <a:ea typeface="Times New Roman"/>
              <a:cs typeface="Times New Roman"/>
            </a:rPr>
            <a:t>For the first quarter ended 31 March 2008, the Group recorded a revenue of  RM40.4 million and profit before tax of RM3.4 million.  This result represents an increase of  34% from revenue of  RM10.3 million and decrease of 7.5% from profit before tax of RM275 k for the corresponding period in 2006. 
The increase in revenue is mainly attributed to increased orders by existing regular customers and new orders being secured.
The decrease in profit before tax is mainly attributed to higher raw material costs and the continued appr</a:t>
          </a:r>
          <a:r>
            <a:rPr lang="en-US" cap="none" sz="1000" b="0" i="0" u="none" baseline="0">
              <a:solidFill>
                <a:srgbClr val="333333"/>
              </a:solidFill>
              <a:latin typeface="Times New Roman"/>
              <a:ea typeface="Times New Roman"/>
              <a:cs typeface="Times New Roman"/>
            </a:rPr>
            <a:t>eciation of Ringgit Malaysia (RM) against US Dollar (USD).</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38100</xdr:colOff>
      <xdr:row>158</xdr:row>
      <xdr:rowOff>47625</xdr:rowOff>
    </xdr:from>
    <xdr:to>
      <xdr:col>9</xdr:col>
      <xdr:colOff>19050</xdr:colOff>
      <xdr:row>162</xdr:row>
      <xdr:rowOff>9525</xdr:rowOff>
    </xdr:to>
    <xdr:sp fLocksText="0">
      <xdr:nvSpPr>
        <xdr:cNvPr id="6" name="TextBox 6"/>
        <xdr:cNvSpPr txBox="1">
          <a:spLocks noChangeArrowheads="1"/>
        </xdr:cNvSpPr>
      </xdr:nvSpPr>
      <xdr:spPr>
        <a:xfrm>
          <a:off x="342900" y="25831800"/>
          <a:ext cx="6191250" cy="6096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Profit before tax of the Group for the quarter under review of RM3.4 million as compared to immediate preceding quarter results of RM1.4 million mainly due the appropriate measures were taken by the Group to control the cost of production, which subsequently increase the profit margin.</a:t>
          </a:r>
        </a:p>
      </xdr:txBody>
    </xdr:sp>
    <xdr:clientData/>
  </xdr:twoCellAnchor>
  <xdr:twoCellAnchor>
    <xdr:from>
      <xdr:col>1</xdr:col>
      <xdr:colOff>38100</xdr:colOff>
      <xdr:row>195</xdr:row>
      <xdr:rowOff>47625</xdr:rowOff>
    </xdr:from>
    <xdr:to>
      <xdr:col>8</xdr:col>
      <xdr:colOff>276225</xdr:colOff>
      <xdr:row>197</xdr:row>
      <xdr:rowOff>104775</xdr:rowOff>
    </xdr:to>
    <xdr:sp fLocksText="0">
      <xdr:nvSpPr>
        <xdr:cNvPr id="7" name="TextBox 7"/>
        <xdr:cNvSpPr txBox="1">
          <a:spLocks noChangeArrowheads="1"/>
        </xdr:cNvSpPr>
      </xdr:nvSpPr>
      <xdr:spPr>
        <a:xfrm>
          <a:off x="342900" y="31689675"/>
          <a:ext cx="5838825" cy="3810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202</xdr:row>
      <xdr:rowOff>76200</xdr:rowOff>
    </xdr:from>
    <xdr:to>
      <xdr:col>8</xdr:col>
      <xdr:colOff>304800</xdr:colOff>
      <xdr:row>205</xdr:row>
      <xdr:rowOff>19050</xdr:rowOff>
    </xdr:to>
    <xdr:sp fLocksText="0">
      <xdr:nvSpPr>
        <xdr:cNvPr id="8" name="TextBox 8"/>
        <xdr:cNvSpPr txBox="1">
          <a:spLocks noChangeArrowheads="1"/>
        </xdr:cNvSpPr>
      </xdr:nvSpPr>
      <xdr:spPr>
        <a:xfrm>
          <a:off x="314325" y="3285172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209</xdr:row>
      <xdr:rowOff>28575</xdr:rowOff>
    </xdr:from>
    <xdr:to>
      <xdr:col>8</xdr:col>
      <xdr:colOff>266700</xdr:colOff>
      <xdr:row>247</xdr:row>
      <xdr:rowOff>104775</xdr:rowOff>
    </xdr:to>
    <xdr:sp fLocksText="0">
      <xdr:nvSpPr>
        <xdr:cNvPr id="9" name="TextBox 9"/>
        <xdr:cNvSpPr txBox="1">
          <a:spLocks noChangeArrowheads="1"/>
        </xdr:cNvSpPr>
      </xdr:nvSpPr>
      <xdr:spPr>
        <a:xfrm>
          <a:off x="333375" y="33937575"/>
          <a:ext cx="5838825" cy="6229350"/>
        </a:xfrm>
        <a:prstGeom prst="rect">
          <a:avLst/>
        </a:prstGeom>
        <a:solidFill>
          <a:srgbClr val="FFFFFF"/>
        </a:solidFill>
        <a:ln w="9525" cmpd="sng">
          <a:noFill/>
        </a:ln>
      </xdr:spPr>
      <xdr:txBody>
        <a:bodyPr vertOverflow="clip" wrap="square" lIns="20160" tIns="20160" rIns="20160" bIns="20160"/>
        <a:p>
          <a:pPr algn="just">
            <a:defRPr/>
          </a:pPr>
          <a:r>
            <a:rPr lang="en-US" cap="none" sz="1000" b="1" i="0" u="sng" baseline="0">
              <a:solidFill>
                <a:srgbClr val="000000"/>
              </a:solidFill>
              <a:latin typeface="Times New Roman"/>
              <a:ea typeface="Times New Roman"/>
              <a:cs typeface="Times New Roman"/>
            </a:rPr>
            <a:t>Proposal:
</a:t>
          </a:r>
          <a:r>
            <a:rPr lang="en-US" cap="none" sz="1000" b="0" i="0" u="none" baseline="0">
              <a:solidFill>
                <a:srgbClr val="000000"/>
              </a:solidFill>
              <a:latin typeface="Times New Roman"/>
              <a:ea typeface="Times New Roman"/>
              <a:cs typeface="Times New Roman"/>
            </a:rPr>
            <a:t>The Company ("DPS") announced on 8 June 2007 its intention to implement the following proposals:
(a) a renounceable rights issue of up to 151,800,000 new ordinary shares of RM0.50 each in DPS ("Rights Share(s)") on the basis of one (1) Rights Share for every one (1) existing ordinary share of RM0.50 each held in DPS ("DPS Share(s)" or "Share(s)") together with up to 75,900,000 free detachable warrants ("Warrant(s)") on the basis of one (1) free Warrant for every two (2) Rights Shares subscribed ("Proposed Rights Issue"); and
(b) an increase in the authorised share capital of DPS from RM100,000,000 comprising 200,000,000 Shares to RM250,000,000 comprising 500,000,000 Shares ("Proposed Increase in Authorised Share Capital")
(collectively to be referred to as the "Proposals").
The applications to the Securities Commission and Bank Negara Malaysia on the Proposed Rights Issue were submitted on 15 June 2007.
(c) Bank Negara Malaysia had vide its letter dated 29 June 2007 (received on 4 July 2007), approved the issuance of up to 75,900,000 Warrants pursuant to the Proposed Rights Issue to the non-resident shareholders of DPS, including renouncees who are non-residents pursuant to the Proposed Rights Issue.
(d) the Securities Commission ("SC") had vide its letter dated 10 July 2007 (received on 11 July 2007), approved the Proposed Rights Issue under Section 32(5) of the Securities Commission Act, 1993,  subject to specific terms and conditions as disclosed in the announcement to the Bursa Malaysia on 11 July 2007. 
(e) The Proposed Rights Issue and Proposed Increase in Authorised Share Capital were approved by the Company's Extraordinary General Meeting ("EGM") on 30 August 2007.
(f) Bursa Malaysia had vide its letter dated 25 September 2007 (received on 25 September 2007), approved in-principle the Admission and Listing of Rights Shares and Warrants, subject to terms and condition imposed.
(g) DPS Board of Directors had on even date resolved to fix the following prices for the securities to be issued pursuant to the Rights Issue as follows: -
     (i)  The issue price of the Right Shares is fixed at RM0.50 per Right Share, and
    (ii) The exercise price of the free detachable Warrants to be issued pursuant to the Rights Issue is fixed at    
          RM0.54 per Warrant.
Subject to specific terms and conditions as disclosed in the announcement to the Bursa Malaysia on 14 and 15 November 2007.
</a:t>
          </a:r>
          <a:r>
            <a:rPr lang="en-US" cap="none" sz="1000" b="1" i="0" u="sng" baseline="0">
              <a:solidFill>
                <a:srgbClr val="000000"/>
              </a:solidFill>
              <a:latin typeface="Times New Roman"/>
              <a:ea typeface="Times New Roman"/>
              <a:cs typeface="Times New Roman"/>
            </a:rPr>
            <a:t>Update:
</a:t>
          </a:r>
          <a:r>
            <a:rPr lang="en-US" cap="none" sz="1000" b="0" i="0" u="none" baseline="0">
              <a:latin typeface="Times New Roman"/>
              <a:ea typeface="Times New Roman"/>
              <a:cs typeface="Times New Roman"/>
            </a:rPr>
            <a:t> 132,000,000 Rights Shares and 66,000,000 Warrants were listed and quoted on the Main Board of Bursa Malaysia Securities Berhad with effect of 9.00 a.m., Monday, 14 January 2008, marking the completion of the Rights Issue.
</a:t>
          </a:r>
        </a:p>
      </xdr:txBody>
    </xdr:sp>
    <xdr:clientData/>
  </xdr:twoCellAnchor>
  <xdr:twoCellAnchor>
    <xdr:from>
      <xdr:col>1</xdr:col>
      <xdr:colOff>9525</xdr:colOff>
      <xdr:row>271</xdr:row>
      <xdr:rowOff>0</xdr:rowOff>
    </xdr:from>
    <xdr:to>
      <xdr:col>8</xdr:col>
      <xdr:colOff>304800</xdr:colOff>
      <xdr:row>272</xdr:row>
      <xdr:rowOff>66675</xdr:rowOff>
    </xdr:to>
    <xdr:sp fLocksText="0">
      <xdr:nvSpPr>
        <xdr:cNvPr id="10" name="TextBox 10"/>
        <xdr:cNvSpPr txBox="1">
          <a:spLocks noChangeArrowheads="1"/>
        </xdr:cNvSpPr>
      </xdr:nvSpPr>
      <xdr:spPr>
        <a:xfrm>
          <a:off x="314325" y="43967400"/>
          <a:ext cx="5895975" cy="2286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114300</xdr:rowOff>
    </xdr:from>
    <xdr:to>
      <xdr:col>7</xdr:col>
      <xdr:colOff>647700</xdr:colOff>
      <xdr:row>21</xdr:row>
      <xdr:rowOff>142875</xdr:rowOff>
    </xdr:to>
    <xdr:sp fLocksText="0">
      <xdr:nvSpPr>
        <xdr:cNvPr id="11" name="TextBox 11"/>
        <xdr:cNvSpPr txBox="1">
          <a:spLocks noChangeArrowheads="1"/>
        </xdr:cNvSpPr>
      </xdr:nvSpPr>
      <xdr:spPr>
        <a:xfrm>
          <a:off x="314325" y="1409700"/>
          <a:ext cx="5391150" cy="21336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The same accounting policies and methods of computation are followed in the interim financial statements as compared with the financial statements for the financial year ended 31 December 2007.
</a:t>
          </a:r>
        </a:p>
      </xdr:txBody>
    </xdr:sp>
    <xdr:clientData/>
  </xdr:twoCellAnchor>
  <xdr:twoCellAnchor>
    <xdr:from>
      <xdr:col>1</xdr:col>
      <xdr:colOff>9525</xdr:colOff>
      <xdr:row>49</xdr:row>
      <xdr:rowOff>28575</xdr:rowOff>
    </xdr:from>
    <xdr:to>
      <xdr:col>8</xdr:col>
      <xdr:colOff>295275</xdr:colOff>
      <xdr:row>52</xdr:row>
      <xdr:rowOff>0</xdr:rowOff>
    </xdr:to>
    <xdr:sp fLocksText="0">
      <xdr:nvSpPr>
        <xdr:cNvPr id="12" name="TextBox 12"/>
        <xdr:cNvSpPr txBox="1">
          <a:spLocks noChangeArrowheads="1"/>
        </xdr:cNvSpPr>
      </xdr:nvSpPr>
      <xdr:spPr>
        <a:xfrm>
          <a:off x="314325" y="7962900"/>
          <a:ext cx="5886450" cy="45720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188</xdr:row>
      <xdr:rowOff>9525</xdr:rowOff>
    </xdr:from>
    <xdr:to>
      <xdr:col>8</xdr:col>
      <xdr:colOff>304800</xdr:colOff>
      <xdr:row>192</xdr:row>
      <xdr:rowOff>0</xdr:rowOff>
    </xdr:to>
    <xdr:sp fLocksText="0">
      <xdr:nvSpPr>
        <xdr:cNvPr id="13" name="TextBox 13"/>
        <xdr:cNvSpPr txBox="1">
          <a:spLocks noChangeArrowheads="1"/>
        </xdr:cNvSpPr>
      </xdr:nvSpPr>
      <xdr:spPr>
        <a:xfrm>
          <a:off x="314325" y="30518100"/>
          <a:ext cx="5895975" cy="638175"/>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solidFill>
                <a:srgbClr val="000000"/>
              </a:solidFill>
            </a:rPr>
            <a:t>The effective tax rate for the periods presented above is lower than the statutory tax rate due to the availability of  reinvestment allowances, double tax deduction incentive for exports and tax incentive for approved food production project under agro-based industries in reducing taxable income. </a:t>
          </a:r>
        </a:p>
      </xdr:txBody>
    </xdr:sp>
    <xdr:clientData/>
  </xdr:twoCellAnchor>
  <xdr:twoCellAnchor>
    <xdr:from>
      <xdr:col>1</xdr:col>
      <xdr:colOff>9525</xdr:colOff>
      <xdr:row>264</xdr:row>
      <xdr:rowOff>85725</xdr:rowOff>
    </xdr:from>
    <xdr:to>
      <xdr:col>8</xdr:col>
      <xdr:colOff>304800</xdr:colOff>
      <xdr:row>266</xdr:row>
      <xdr:rowOff>19050</xdr:rowOff>
    </xdr:to>
    <xdr:sp fLocksText="0">
      <xdr:nvSpPr>
        <xdr:cNvPr id="14" name="TextBox 14"/>
        <xdr:cNvSpPr txBox="1">
          <a:spLocks noChangeArrowheads="1"/>
        </xdr:cNvSpPr>
      </xdr:nvSpPr>
      <xdr:spPr>
        <a:xfrm>
          <a:off x="314325" y="42919650"/>
          <a:ext cx="5895975" cy="2571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103</xdr:row>
      <xdr:rowOff>9525</xdr:rowOff>
    </xdr:from>
    <xdr:to>
      <xdr:col>8</xdr:col>
      <xdr:colOff>304800</xdr:colOff>
      <xdr:row>105</xdr:row>
      <xdr:rowOff>114300</xdr:rowOff>
    </xdr:to>
    <xdr:sp fLocksText="0">
      <xdr:nvSpPr>
        <xdr:cNvPr id="15" name="TextBox 15"/>
        <xdr:cNvSpPr txBox="1">
          <a:spLocks noChangeArrowheads="1"/>
        </xdr:cNvSpPr>
      </xdr:nvSpPr>
      <xdr:spPr>
        <a:xfrm>
          <a:off x="314325" y="16868775"/>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changes in the valuation of property, plant and equipment since the last audited financial statement for the year ended 31 December 2007. </a:t>
          </a:r>
        </a:p>
      </xdr:txBody>
    </xdr:sp>
    <xdr:clientData/>
  </xdr:twoCellAnchor>
  <xdr:twoCellAnchor>
    <xdr:from>
      <xdr:col>1</xdr:col>
      <xdr:colOff>19050</xdr:colOff>
      <xdr:row>276</xdr:row>
      <xdr:rowOff>114300</xdr:rowOff>
    </xdr:from>
    <xdr:to>
      <xdr:col>8</xdr:col>
      <xdr:colOff>152400</xdr:colOff>
      <xdr:row>280</xdr:row>
      <xdr:rowOff>19050</xdr:rowOff>
    </xdr:to>
    <xdr:sp fLocksText="0">
      <xdr:nvSpPr>
        <xdr:cNvPr id="16" name="TextBox 16"/>
        <xdr:cNvSpPr txBox="1">
          <a:spLocks noChangeArrowheads="1"/>
        </xdr:cNvSpPr>
      </xdr:nvSpPr>
      <xdr:spPr>
        <a:xfrm>
          <a:off x="323850" y="44891325"/>
          <a:ext cx="5734050" cy="5524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For financial year ended 31 December 2007, the Board has recommended the final gross dividend of 1 sen per share (tax exempt), subject to the shareholders' approval at the forthcoming Annual General Meeting.
</a:t>
          </a:r>
        </a:p>
      </xdr:txBody>
    </xdr:sp>
    <xdr:clientData/>
  </xdr:twoCellAnchor>
  <xdr:twoCellAnchor>
    <xdr:from>
      <xdr:col>1</xdr:col>
      <xdr:colOff>9525</xdr:colOff>
      <xdr:row>37</xdr:row>
      <xdr:rowOff>9525</xdr:rowOff>
    </xdr:from>
    <xdr:to>
      <xdr:col>8</xdr:col>
      <xdr:colOff>304800</xdr:colOff>
      <xdr:row>39</xdr:row>
      <xdr:rowOff>114300</xdr:rowOff>
    </xdr:to>
    <xdr:sp fLocksText="0">
      <xdr:nvSpPr>
        <xdr:cNvPr id="17" name="TextBox 17"/>
        <xdr:cNvSpPr txBox="1">
          <a:spLocks noChangeArrowheads="1"/>
        </xdr:cNvSpPr>
      </xdr:nvSpPr>
      <xdr:spPr>
        <a:xfrm>
          <a:off x="314325" y="6000750"/>
          <a:ext cx="58959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1</xdr:col>
      <xdr:colOff>9525</xdr:colOff>
      <xdr:row>79</xdr:row>
      <xdr:rowOff>104775</xdr:rowOff>
    </xdr:from>
    <xdr:to>
      <xdr:col>8</xdr:col>
      <xdr:colOff>304800</xdr:colOff>
      <xdr:row>86</xdr:row>
      <xdr:rowOff>142875</xdr:rowOff>
    </xdr:to>
    <xdr:sp fLocksText="0">
      <xdr:nvSpPr>
        <xdr:cNvPr id="18" name="TextBox 18"/>
        <xdr:cNvSpPr txBox="1">
          <a:spLocks noChangeArrowheads="1"/>
        </xdr:cNvSpPr>
      </xdr:nvSpPr>
      <xdr:spPr>
        <a:xfrm>
          <a:off x="314325" y="13058775"/>
          <a:ext cx="5895975" cy="11715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Geographical segments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The Group's goods are mainly sold to customers located in Malaysia, Europe, America, Asia Pacific, Middle East and Africa.
</a:t>
          </a:r>
        </a:p>
      </xdr:txBody>
    </xdr:sp>
    <xdr:clientData/>
  </xdr:twoCellAnchor>
  <xdr:twoCellAnchor>
    <xdr:from>
      <xdr:col>1</xdr:col>
      <xdr:colOff>19050</xdr:colOff>
      <xdr:row>351</xdr:row>
      <xdr:rowOff>9525</xdr:rowOff>
    </xdr:from>
    <xdr:to>
      <xdr:col>9</xdr:col>
      <xdr:colOff>0</xdr:colOff>
      <xdr:row>378</xdr:row>
      <xdr:rowOff>123825</xdr:rowOff>
    </xdr:to>
    <xdr:sp fLocksText="0">
      <xdr:nvSpPr>
        <xdr:cNvPr id="19" name="TextBox 19"/>
        <xdr:cNvSpPr txBox="1">
          <a:spLocks noChangeArrowheads="1"/>
        </xdr:cNvSpPr>
      </xdr:nvSpPr>
      <xdr:spPr>
        <a:xfrm>
          <a:off x="323850" y="56864250"/>
          <a:ext cx="6191250" cy="44862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
</a:t>
          </a:r>
          <a:r>
            <a:rPr lang="en-US" cap="none" sz="1000" b="1" i="0" u="sng" baseline="0">
              <a:solidFill>
                <a:srgbClr val="000000"/>
              </a:solidFill>
              <a:latin typeface="Times New Roman"/>
              <a:ea typeface="Times New Roman"/>
              <a:cs typeface="Times New Roman"/>
            </a:rPr>
            <a:t>COMPLETED
</a:t>
          </a:r>
          <a:r>
            <a:rPr lang="en-US" cap="none" sz="1000" b="0" i="0" u="none" baseline="0">
              <a:solidFill>
                <a:srgbClr val="000000"/>
              </a:solidFill>
              <a:latin typeface="Times New Roman"/>
              <a:ea typeface="Times New Roman"/>
              <a:cs typeface="Times New Roman"/>
            </a:rPr>
            <a:t>(a) Permanent approval for the structures held under PT NO. 266 &amp; 267 (Lot 1629)  has been obtained on 22 July 2004 vide reference no.:JPKB/MPMBB: 00552/96.
(b) Permanent approval for  structures held under PT NO. 4129, 4114 &amp; 4113 has been obtained on 22 July 2004 vide reference no.:JPKB/MPMBB: 05027/2002.
(c) Lot 3702 - Ownership has been transferred and registered under Shantawood Manufacturing Sdn Bhd ("Shantawood") on 9 August 2002 as confirmed by Chee Siah Le Kee &amp; Partners in their letter dated 7 Jan 2004.
(d) Lot 3701 - Ownership has been transferred and registered under Shantawood as confirmed by San &amp; Associates in their letter dated 14 November 2006.
(e) Lot 4095 - Ownership has been transferred and registered under Shantawood on 17 November 2005 as confirmed by Yap Koon Roy &amp; Associates in their letter dated 4 April 2006.
(f) Lot 4096 - As per confirmation by Chee Siah Le Kee &amp; Partners, matter has been completed and the transfer in favour of Shantawood was presented on 4 February 2008 for registration.</a:t>
          </a:r>
        </a:p>
      </xdr:txBody>
    </xdr:sp>
    <xdr:clientData/>
  </xdr:twoCellAnchor>
  <xdr:twoCellAnchor>
    <xdr:from>
      <xdr:col>1</xdr:col>
      <xdr:colOff>9525</xdr:colOff>
      <xdr:row>327</xdr:row>
      <xdr:rowOff>9525</xdr:rowOff>
    </xdr:from>
    <xdr:to>
      <xdr:col>8</xdr:col>
      <xdr:colOff>228600</xdr:colOff>
      <xdr:row>329</xdr:row>
      <xdr:rowOff>114300</xdr:rowOff>
    </xdr:to>
    <xdr:sp fLocksText="0">
      <xdr:nvSpPr>
        <xdr:cNvPr id="20" name="TextBox 20"/>
        <xdr:cNvSpPr txBox="1">
          <a:spLocks noChangeArrowheads="1"/>
        </xdr:cNvSpPr>
      </xdr:nvSpPr>
      <xdr:spPr>
        <a:xfrm>
          <a:off x="314325" y="52959000"/>
          <a:ext cx="581977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Status of  finalised utilisation of proceeds arising from the Rights Issue, together with free detachable warrants exercise completed on 14 February 2008 amounting to RM66,000,000 are as follows:</a:t>
          </a:r>
        </a:p>
      </xdr:txBody>
    </xdr:sp>
    <xdr:clientData/>
  </xdr:twoCellAnchor>
  <xdr:twoCellAnchor>
    <xdr:from>
      <xdr:col>1</xdr:col>
      <xdr:colOff>9525</xdr:colOff>
      <xdr:row>61</xdr:row>
      <xdr:rowOff>9525</xdr:rowOff>
    </xdr:from>
    <xdr:to>
      <xdr:col>8</xdr:col>
      <xdr:colOff>304800</xdr:colOff>
      <xdr:row>64</xdr:row>
      <xdr:rowOff>85725</xdr:rowOff>
    </xdr:to>
    <xdr:sp fLocksText="0">
      <xdr:nvSpPr>
        <xdr:cNvPr id="21" name="TextBox 21"/>
        <xdr:cNvSpPr txBox="1">
          <a:spLocks noChangeArrowheads="1"/>
        </xdr:cNvSpPr>
      </xdr:nvSpPr>
      <xdr:spPr>
        <a:xfrm>
          <a:off x="314325" y="9867900"/>
          <a:ext cx="5895975" cy="561975"/>
        </a:xfrm>
        <a:prstGeom prst="rect">
          <a:avLst/>
        </a:prstGeom>
        <a:solidFill>
          <a:srgbClr val="FFFFFF"/>
        </a:solidFill>
        <a:ln w="9525" cmpd="sng">
          <a:noFill/>
        </a:ln>
      </xdr:spPr>
      <xdr:txBody>
        <a:bodyPr vertOverflow="clip" wrap="square" lIns="20160" tIns="20160" rIns="20160" bIns="20160"/>
        <a:p>
          <a:pPr algn="l">
            <a:defRPr/>
          </a:pPr>
          <a:r>
            <a:rPr lang="en-US" cap="none" sz="1000" b="1" i="0" u="none" baseline="0">
              <a:solidFill>
                <a:srgbClr val="000000"/>
              </a:solidFill>
              <a:latin typeface="Times New Roman"/>
              <a:ea typeface="Times New Roman"/>
              <a:cs typeface="Times New Roman"/>
            </a:rPr>
            <a:t>Business segments
</a:t>
          </a:r>
          <a:r>
            <a:rPr lang="en-US" cap="none" sz="1000" b="0" i="0" u="none" baseline="0">
              <a:solidFill>
                <a:srgbClr val="000000"/>
              </a:solidFill>
              <a:latin typeface="Times New Roman"/>
              <a:ea typeface="Times New Roman"/>
              <a:cs typeface="Times New Roman"/>
            </a:rPr>
            <a:t>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9525</xdr:colOff>
      <xdr:row>55</xdr:row>
      <xdr:rowOff>19050</xdr:rowOff>
    </xdr:from>
    <xdr:to>
      <xdr:col>8</xdr:col>
      <xdr:colOff>123825</xdr:colOff>
      <xdr:row>58</xdr:row>
      <xdr:rowOff>47625</xdr:rowOff>
    </xdr:to>
    <xdr:sp fLocksText="0">
      <xdr:nvSpPr>
        <xdr:cNvPr id="22" name="TextBox 22"/>
        <xdr:cNvSpPr txBox="1">
          <a:spLocks noChangeArrowheads="1"/>
        </xdr:cNvSpPr>
      </xdr:nvSpPr>
      <xdr:spPr>
        <a:xfrm>
          <a:off x="314325" y="8924925"/>
          <a:ext cx="5715000" cy="495300"/>
        </a:xfrm>
        <a:prstGeom prst="rect">
          <a:avLst/>
        </a:prstGeom>
        <a:solidFill>
          <a:srgbClr val="FFFFFF"/>
        </a:solidFill>
        <a:ln w="9525" cmpd="sng">
          <a:noFill/>
        </a:ln>
      </xdr:spPr>
      <xdr:txBody>
        <a:bodyPr vertOverflow="clip" wrap="square" lIns="20160" tIns="20160" rIns="20160" bIns="20160"/>
        <a:p>
          <a:pPr algn="just">
            <a:defRPr/>
          </a:pPr>
          <a:r>
            <a:rPr lang="en-US" cap="none" sz="1000" b="0" i="0" u="none" baseline="0"/>
            <a:t>For financial year ended 31 December 2007, the Board has recommended the final gross dividend of 1 sen per share (tax exempt), subject to the shareholders' approval at the forthcoming Annual General Meeting.
</a:t>
          </a:r>
        </a:p>
      </xdr:txBody>
    </xdr:sp>
    <xdr:clientData/>
  </xdr:twoCellAnchor>
  <xdr:twoCellAnchor>
    <xdr:from>
      <xdr:col>1</xdr:col>
      <xdr:colOff>19050</xdr:colOff>
      <xdr:row>165</xdr:row>
      <xdr:rowOff>76200</xdr:rowOff>
    </xdr:from>
    <xdr:to>
      <xdr:col>8</xdr:col>
      <xdr:colOff>247650</xdr:colOff>
      <xdr:row>175</xdr:row>
      <xdr:rowOff>28575</xdr:rowOff>
    </xdr:to>
    <xdr:sp fLocksText="0">
      <xdr:nvSpPr>
        <xdr:cNvPr id="23" name="TextBox 23"/>
        <xdr:cNvSpPr txBox="1">
          <a:spLocks noChangeArrowheads="1"/>
        </xdr:cNvSpPr>
      </xdr:nvSpPr>
      <xdr:spPr>
        <a:xfrm>
          <a:off x="323850" y="26993850"/>
          <a:ext cx="5829300" cy="1571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Moving forward, the Group plans to move up the value chain by penetrating higher-end segments with enhanced modern designs and materials in tandem with its current growth in business volume.
The Group remains cautious of the potential impact of fluctuations in raw material prices (especially rubberwood) and continued appreciation of RM against USD on its competitiveness.
At the same time, other business and diversification opportunities will be explored.
</a:t>
          </a:r>
        </a:p>
      </xdr:txBody>
    </xdr:sp>
    <xdr:clientData/>
  </xdr:twoCellAnchor>
  <xdr:twoCellAnchor>
    <xdr:from>
      <xdr:col>1</xdr:col>
      <xdr:colOff>9525</xdr:colOff>
      <xdr:row>300</xdr:row>
      <xdr:rowOff>85725</xdr:rowOff>
    </xdr:from>
    <xdr:to>
      <xdr:col>9</xdr:col>
      <xdr:colOff>66675</xdr:colOff>
      <xdr:row>305</xdr:row>
      <xdr:rowOff>19050</xdr:rowOff>
    </xdr:to>
    <xdr:sp fLocksText="0">
      <xdr:nvSpPr>
        <xdr:cNvPr id="24" name="TextBox 24"/>
        <xdr:cNvSpPr txBox="1">
          <a:spLocks noChangeArrowheads="1"/>
        </xdr:cNvSpPr>
      </xdr:nvSpPr>
      <xdr:spPr>
        <a:xfrm>
          <a:off x="314325" y="48768000"/>
          <a:ext cx="6267450" cy="742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t>The calculation of the diluted earnings per share is based on the profit attributable to ordinary equity holders of the parent for the current quarter and cumulative year to date divided by the adjusted weighted average number of ordinary shares of RM0.50 each in issue and issuable under the exercise of share options granted under the DPS Employees' Share Option Scheme.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1%2008(amend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ASHFLOW"/>
      <sheetName val="EQUITY"/>
      <sheetName val="NOTE"/>
      <sheetName val="W3_CF Conso"/>
      <sheetName val="W2_Mac_BS Conso"/>
      <sheetName val="W1_P_L Conso"/>
      <sheetName val="Det BS"/>
      <sheetName val="Det P_L"/>
      <sheetName val="TOKO IND_P_L_BS"/>
      <sheetName val="DPSR_P_L_BS"/>
      <sheetName val="DPSP _P_L_BS"/>
      <sheetName val="DT _ P_L_BS"/>
      <sheetName val="Tax Summary"/>
      <sheetName val="Tax comp"/>
      <sheetName val="Deferred tax"/>
      <sheetName val="Capital Allowance"/>
      <sheetName val="Weighted Shares"/>
      <sheetName val="Consol Reserve"/>
      <sheetName val="Goodwill"/>
    </sheetNames>
    <sheetDataSet>
      <sheetData sheetId="0">
        <row r="16">
          <cell r="B16">
            <v>40368.3595</v>
          </cell>
        </row>
        <row r="30">
          <cell r="B30">
            <v>3387.0565600000054</v>
          </cell>
        </row>
        <row r="42">
          <cell r="B42">
            <v>3126.0565600000054</v>
          </cell>
          <cell r="F42">
            <v>3126.057835197903</v>
          </cell>
        </row>
      </sheetData>
      <sheetData sheetId="1">
        <row r="28">
          <cell r="B28">
            <v>34632.53079</v>
          </cell>
        </row>
        <row r="42">
          <cell r="B42">
            <v>21690.79775</v>
          </cell>
        </row>
      </sheetData>
      <sheetData sheetId="5">
        <row r="45">
          <cell r="L45">
            <v>-10864589.63</v>
          </cell>
        </row>
        <row r="54">
          <cell r="L54">
            <v>-3317908.8200000064</v>
          </cell>
        </row>
        <row r="64">
          <cell r="L64">
            <v>38159866.03</v>
          </cell>
        </row>
        <row r="68">
          <cell r="L68">
            <v>27433219.89</v>
          </cell>
        </row>
        <row r="73">
          <cell r="L73">
            <v>56748086.11</v>
          </cell>
        </row>
        <row r="75">
          <cell r="L75">
            <v>-5337498.75</v>
          </cell>
        </row>
      </sheetData>
      <sheetData sheetId="6">
        <row r="7">
          <cell r="L7">
            <v>107886815.65</v>
          </cell>
        </row>
        <row r="8">
          <cell r="L8">
            <v>6922714</v>
          </cell>
        </row>
        <row r="9">
          <cell r="L9">
            <v>14800000</v>
          </cell>
        </row>
        <row r="11">
          <cell r="L11">
            <v>4972418.56</v>
          </cell>
        </row>
        <row r="15">
          <cell r="L15">
            <v>17159571</v>
          </cell>
        </row>
        <row r="16">
          <cell r="L16">
            <v>41474080.43</v>
          </cell>
        </row>
        <row r="19">
          <cell r="L19">
            <v>0</v>
          </cell>
        </row>
        <row r="21">
          <cell r="L21">
            <v>24369.25</v>
          </cell>
        </row>
        <row r="22">
          <cell r="L22">
            <v>55817302</v>
          </cell>
        </row>
        <row r="23">
          <cell r="L23">
            <v>930783.62</v>
          </cell>
        </row>
        <row r="24">
          <cell r="L24">
            <v>24002</v>
          </cell>
        </row>
        <row r="28">
          <cell r="L28">
            <v>12069285.7</v>
          </cell>
        </row>
        <row r="35">
          <cell r="L35">
            <v>51995.2</v>
          </cell>
        </row>
        <row r="38">
          <cell r="L38">
            <v>34632530.79</v>
          </cell>
        </row>
        <row r="41">
          <cell r="L41">
            <v>233344</v>
          </cell>
        </row>
        <row r="48">
          <cell r="L48">
            <v>132000000</v>
          </cell>
        </row>
        <row r="61">
          <cell r="L61">
            <v>0</v>
          </cell>
        </row>
        <row r="62">
          <cell r="L62">
            <v>21690797.75</v>
          </cell>
        </row>
        <row r="64">
          <cell r="L64">
            <v>7818016</v>
          </cell>
        </row>
      </sheetData>
      <sheetData sheetId="7">
        <row r="15">
          <cell r="D15">
            <v>13394.1</v>
          </cell>
          <cell r="E15">
            <v>144000</v>
          </cell>
          <cell r="N15">
            <v>40368359.5</v>
          </cell>
        </row>
        <row r="17">
          <cell r="N17">
            <v>-33032979.669999994</v>
          </cell>
        </row>
        <row r="23">
          <cell r="N23">
            <v>963799.39</v>
          </cell>
        </row>
        <row r="29">
          <cell r="E29">
            <v>-61409.05</v>
          </cell>
        </row>
        <row r="31">
          <cell r="N31">
            <v>-261000</v>
          </cell>
        </row>
        <row r="33">
          <cell r="D33">
            <v>-11223.99</v>
          </cell>
        </row>
        <row r="35">
          <cell r="N35">
            <v>0</v>
          </cell>
        </row>
        <row r="39">
          <cell r="N39">
            <v>1.2751978974358995</v>
          </cell>
        </row>
        <row r="42">
          <cell r="M42">
            <v>488139.64</v>
          </cell>
        </row>
        <row r="43">
          <cell r="M43">
            <v>3352714.96</v>
          </cell>
        </row>
        <row r="44">
          <cell r="M44">
            <v>144000</v>
          </cell>
        </row>
        <row r="47">
          <cell r="M47">
            <v>0</v>
          </cell>
        </row>
      </sheetData>
      <sheetData sheetId="9">
        <row r="79">
          <cell r="B79">
            <v>66821</v>
          </cell>
          <cell r="C79">
            <v>314035</v>
          </cell>
        </row>
        <row r="89">
          <cell r="B89">
            <v>6821</v>
          </cell>
          <cell r="C89">
            <v>17508</v>
          </cell>
        </row>
        <row r="208">
          <cell r="B208">
            <v>-75243</v>
          </cell>
          <cell r="C208">
            <v>-185757</v>
          </cell>
        </row>
        <row r="225">
          <cell r="B225">
            <v>17001.690220000004</v>
          </cell>
        </row>
        <row r="226">
          <cell r="B226">
            <v>10077.53368</v>
          </cell>
        </row>
        <row r="227">
          <cell r="B227">
            <v>6720.72888</v>
          </cell>
        </row>
        <row r="228">
          <cell r="B228">
            <v>2680.26699</v>
          </cell>
        </row>
        <row r="229">
          <cell r="B229">
            <v>2722.9235</v>
          </cell>
        </row>
        <row r="230">
          <cell r="B230">
            <v>1007.82213</v>
          </cell>
        </row>
      </sheetData>
      <sheetData sheetId="11">
        <row r="66">
          <cell r="D66">
            <v>0</v>
          </cell>
        </row>
      </sheetData>
      <sheetData sheetId="18">
        <row r="17">
          <cell r="E17">
            <v>245142857.14285716</v>
          </cell>
        </row>
        <row r="22">
          <cell r="E22">
            <v>1.2751978974358995</v>
          </cell>
        </row>
        <row r="27">
          <cell r="E27">
            <v>245142857.14285716</v>
          </cell>
        </row>
        <row r="29">
          <cell r="E29">
            <v>1.2751978974358995</v>
          </cell>
        </row>
        <row r="39">
          <cell r="E39">
            <v>245142857.14285716</v>
          </cell>
        </row>
        <row r="44">
          <cell r="E44">
            <v>1.2751978974358995</v>
          </cell>
        </row>
        <row r="49">
          <cell r="E49">
            <v>245142857.14285716</v>
          </cell>
        </row>
        <row r="51">
          <cell r="E51">
            <v>1.2751978974358995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workbookViewId="0" topLeftCell="A13">
      <selection activeCell="K17" sqref="K17"/>
    </sheetView>
  </sheetViews>
  <sheetFormatPr defaultColWidth="9.140625" defaultRowHeight="12.75"/>
  <cols>
    <col min="1" max="1" width="39.28125" style="2" customWidth="1"/>
    <col min="2" max="2" width="12.57421875" style="2" customWidth="1"/>
    <col min="3" max="3" width="1.28515625" style="2" customWidth="1"/>
    <col min="4" max="4" width="12.57421875" style="3" customWidth="1"/>
    <col min="5" max="5" width="1.421875" style="2" customWidth="1"/>
    <col min="6" max="6" width="10.7109375" style="3" customWidth="1"/>
    <col min="7" max="7" width="1.421875" style="2" customWidth="1"/>
    <col min="8" max="8" width="12.28125" style="3" customWidth="1"/>
    <col min="9" max="9" width="1.1484375" style="2" customWidth="1"/>
    <col min="10" max="16384" width="9.140625" style="2" customWidth="1"/>
  </cols>
  <sheetData>
    <row r="1" spans="1:8" ht="11.25">
      <c r="A1" s="1" t="s">
        <v>0</v>
      </c>
      <c r="B1" s="1"/>
      <c r="C1" s="1"/>
      <c r="D1" s="1"/>
      <c r="E1" s="1"/>
      <c r="F1" s="1"/>
      <c r="G1" s="1"/>
      <c r="H1" s="1"/>
    </row>
    <row r="2" spans="1:8" ht="11.25">
      <c r="A2" s="1" t="s">
        <v>1</v>
      </c>
      <c r="B2" s="1"/>
      <c r="C2" s="1"/>
      <c r="D2" s="1"/>
      <c r="E2" s="1"/>
      <c r="F2" s="1"/>
      <c r="G2" s="1"/>
      <c r="H2" s="1"/>
    </row>
    <row r="3" spans="1:8" ht="11.25">
      <c r="A3" s="1"/>
      <c r="B3" s="1"/>
      <c r="C3" s="1"/>
      <c r="D3" s="1"/>
      <c r="E3" s="1"/>
      <c r="F3" s="1"/>
      <c r="G3" s="1"/>
      <c r="H3" s="1"/>
    </row>
    <row r="5" ht="11.25">
      <c r="A5" s="4" t="s">
        <v>2</v>
      </c>
    </row>
    <row r="6" ht="11.25">
      <c r="A6" s="4" t="s">
        <v>3</v>
      </c>
    </row>
    <row r="7" spans="1:8" ht="11.25">
      <c r="A7" s="4" t="s">
        <v>4</v>
      </c>
      <c r="B7" s="3"/>
      <c r="D7" s="5"/>
      <c r="H7" s="5"/>
    </row>
    <row r="8" spans="1:2" ht="11.25">
      <c r="A8" s="6"/>
      <c r="B8" s="3"/>
    </row>
    <row r="9" spans="1:8" ht="11.25">
      <c r="A9" s="6"/>
      <c r="B9" s="104" t="s">
        <v>5</v>
      </c>
      <c r="C9" s="104"/>
      <c r="D9" s="104"/>
      <c r="F9" s="104" t="s">
        <v>6</v>
      </c>
      <c r="G9" s="104"/>
      <c r="H9" s="104"/>
    </row>
    <row r="10" spans="2:8" ht="11.25">
      <c r="B10" s="3"/>
      <c r="C10" s="3"/>
      <c r="D10" s="3" t="s">
        <v>7</v>
      </c>
      <c r="E10" s="3"/>
      <c r="G10" s="3"/>
      <c r="H10" s="3" t="s">
        <v>7</v>
      </c>
    </row>
    <row r="11" spans="2:8" ht="11.25">
      <c r="B11" s="3" t="s">
        <v>8</v>
      </c>
      <c r="C11" s="3"/>
      <c r="D11" s="3" t="s">
        <v>9</v>
      </c>
      <c r="E11" s="3"/>
      <c r="F11" s="3" t="s">
        <v>8</v>
      </c>
      <c r="G11" s="3"/>
      <c r="H11" s="3" t="s">
        <v>9</v>
      </c>
    </row>
    <row r="12" spans="2:8" ht="11.25">
      <c r="B12" s="3" t="s">
        <v>10</v>
      </c>
      <c r="C12" s="3"/>
      <c r="D12" s="3" t="s">
        <v>10</v>
      </c>
      <c r="E12" s="3"/>
      <c r="F12" s="3" t="s">
        <v>11</v>
      </c>
      <c r="G12" s="3"/>
      <c r="H12" s="3" t="s">
        <v>12</v>
      </c>
    </row>
    <row r="13" spans="2:8" ht="11.25">
      <c r="B13" s="3" t="s">
        <v>13</v>
      </c>
      <c r="C13" s="3"/>
      <c r="D13" s="3" t="s">
        <v>14</v>
      </c>
      <c r="E13" s="3"/>
      <c r="F13" s="3" t="s">
        <v>13</v>
      </c>
      <c r="G13" s="3"/>
      <c r="H13" s="3" t="s">
        <v>14</v>
      </c>
    </row>
    <row r="14" spans="2:8" ht="11.25">
      <c r="B14" s="3" t="s">
        <v>15</v>
      </c>
      <c r="D14" s="3" t="s">
        <v>15</v>
      </c>
      <c r="F14" s="3" t="s">
        <v>15</v>
      </c>
      <c r="H14" s="3" t="s">
        <v>15</v>
      </c>
    </row>
    <row r="16" spans="1:8" s="7" customFormat="1" ht="11.25">
      <c r="A16" s="7" t="s">
        <v>16</v>
      </c>
      <c r="B16" s="8">
        <f>'[1]W1_P_L Conso'!N15/1000</f>
        <v>40368.3595</v>
      </c>
      <c r="C16" s="8"/>
      <c r="D16" s="8">
        <v>30092</v>
      </c>
      <c r="E16" s="8"/>
      <c r="F16" s="8">
        <f>'[1]W1_P_L Conso'!N15/1000</f>
        <v>40368.3595</v>
      </c>
      <c r="G16" s="8"/>
      <c r="H16" s="8">
        <v>30092</v>
      </c>
    </row>
    <row r="17" spans="2:8" s="7" customFormat="1" ht="11.25">
      <c r="B17" s="8"/>
      <c r="C17" s="8"/>
      <c r="D17" s="8"/>
      <c r="E17" s="8"/>
      <c r="F17" s="8"/>
      <c r="G17" s="8"/>
      <c r="H17" s="8"/>
    </row>
    <row r="18" spans="1:8" s="7" customFormat="1" ht="11.25">
      <c r="A18" s="7" t="s">
        <v>17</v>
      </c>
      <c r="B18" s="8">
        <f>'[1]W1_P_L Conso'!N17/1000</f>
        <v>-33032.97966999999</v>
      </c>
      <c r="C18" s="8"/>
      <c r="D18" s="8">
        <v>-22476</v>
      </c>
      <c r="E18" s="8"/>
      <c r="F18" s="8">
        <f>'[1]W1_P_L Conso'!N17/1000</f>
        <v>-33032.97966999999</v>
      </c>
      <c r="G18" s="8"/>
      <c r="H18" s="8">
        <v>-22476</v>
      </c>
    </row>
    <row r="19" spans="2:8" s="7" customFormat="1" ht="11.25">
      <c r="B19" s="9"/>
      <c r="C19" s="8"/>
      <c r="D19" s="9"/>
      <c r="E19" s="8"/>
      <c r="F19" s="9"/>
      <c r="G19" s="8"/>
      <c r="H19" s="9"/>
    </row>
    <row r="20" spans="1:8" s="7" customFormat="1" ht="11.25">
      <c r="A20" s="7" t="s">
        <v>18</v>
      </c>
      <c r="B20" s="8">
        <f>SUM(B16:B19)</f>
        <v>7335.379830000005</v>
      </c>
      <c r="C20" s="8"/>
      <c r="D20" s="8">
        <f>SUM(D16:D19)</f>
        <v>7616</v>
      </c>
      <c r="E20" s="8"/>
      <c r="F20" s="8">
        <f>SUM(F16:F19)</f>
        <v>7335.379830000005</v>
      </c>
      <c r="G20" s="8"/>
      <c r="H20" s="8">
        <f>SUM(H16:H19)</f>
        <v>7616</v>
      </c>
    </row>
    <row r="21" spans="2:8" s="7" customFormat="1" ht="11.25">
      <c r="B21" s="10"/>
      <c r="C21" s="8"/>
      <c r="D21" s="10"/>
      <c r="E21" s="8"/>
      <c r="F21" s="10"/>
      <c r="G21" s="10"/>
      <c r="H21" s="10"/>
    </row>
    <row r="22" spans="1:8" s="7" customFormat="1" ht="11.25">
      <c r="A22" s="2" t="s">
        <v>19</v>
      </c>
      <c r="B22" s="8">
        <v>-4095</v>
      </c>
      <c r="C22" s="8"/>
      <c r="D22" s="8">
        <v>-3525</v>
      </c>
      <c r="E22" s="8"/>
      <c r="F22" s="8">
        <v>-4095</v>
      </c>
      <c r="G22" s="8"/>
      <c r="H22" s="8">
        <v>-3525</v>
      </c>
    </row>
    <row r="23" spans="1:8" s="7" customFormat="1" ht="11.25">
      <c r="A23" s="2"/>
      <c r="B23" s="11"/>
      <c r="C23" s="8"/>
      <c r="D23" s="11"/>
      <c r="E23" s="8"/>
      <c r="F23" s="8"/>
      <c r="G23" s="8"/>
      <c r="H23" s="11"/>
    </row>
    <row r="24" spans="1:8" s="7" customFormat="1" ht="11.25">
      <c r="A24" s="2" t="s">
        <v>20</v>
      </c>
      <c r="B24" s="8">
        <f>'[1]W1_P_L Conso'!N23/1000</f>
        <v>963.79939</v>
      </c>
      <c r="C24" s="8"/>
      <c r="D24" s="8">
        <v>15</v>
      </c>
      <c r="E24" s="8"/>
      <c r="F24" s="8">
        <f>'[1]W1_P_L Conso'!N23/1000</f>
        <v>963.79939</v>
      </c>
      <c r="G24" s="8"/>
      <c r="H24" s="8">
        <v>15</v>
      </c>
    </row>
    <row r="25" spans="1:8" s="7" customFormat="1" ht="11.25">
      <c r="A25" s="2"/>
      <c r="B25" s="9"/>
      <c r="C25" s="8"/>
      <c r="D25" s="9"/>
      <c r="E25" s="8"/>
      <c r="F25" s="9"/>
      <c r="G25" s="8"/>
      <c r="H25" s="9"/>
    </row>
    <row r="26" spans="1:8" s="7" customFormat="1" ht="11.25">
      <c r="A26" s="2" t="s">
        <v>21</v>
      </c>
      <c r="B26" s="8">
        <f>SUM(B20:B25)</f>
        <v>4204.179220000005</v>
      </c>
      <c r="C26" s="8"/>
      <c r="D26" s="8">
        <f>SUM(D20:D25)</f>
        <v>4106</v>
      </c>
      <c r="E26" s="8"/>
      <c r="F26" s="8">
        <f>SUM(F20:F25)</f>
        <v>4204.179220000005</v>
      </c>
      <c r="G26" s="8"/>
      <c r="H26" s="8">
        <f>SUM(H20:H25)</f>
        <v>4106</v>
      </c>
    </row>
    <row r="27" spans="1:8" s="7" customFormat="1" ht="11.25">
      <c r="A27" s="2"/>
      <c r="B27" s="11"/>
      <c r="C27" s="8"/>
      <c r="D27" s="11"/>
      <c r="E27" s="8"/>
      <c r="F27" s="8"/>
      <c r="G27" s="8"/>
      <c r="H27" s="11"/>
    </row>
    <row r="28" spans="1:8" s="7" customFormat="1" ht="11.25">
      <c r="A28" s="2" t="s">
        <v>22</v>
      </c>
      <c r="B28" s="8">
        <v>-817</v>
      </c>
      <c r="C28" s="8"/>
      <c r="D28" s="8">
        <v>-444</v>
      </c>
      <c r="E28" s="8"/>
      <c r="F28" s="8">
        <v>-817</v>
      </c>
      <c r="G28" s="8"/>
      <c r="H28" s="8">
        <v>-444</v>
      </c>
    </row>
    <row r="29" spans="1:8" s="7" customFormat="1" ht="11.25">
      <c r="A29" s="2"/>
      <c r="B29" s="9"/>
      <c r="C29" s="8"/>
      <c r="D29" s="9"/>
      <c r="E29" s="8"/>
      <c r="F29" s="9"/>
      <c r="G29" s="8"/>
      <c r="H29" s="9"/>
    </row>
    <row r="30" spans="1:8" s="7" customFormat="1" ht="11.25">
      <c r="A30" s="2" t="s">
        <v>23</v>
      </c>
      <c r="B30" s="8">
        <f>SUM(B26:B29)</f>
        <v>3387.1792200000054</v>
      </c>
      <c r="C30" s="8"/>
      <c r="D30" s="8">
        <f>SUM(D26:D29)</f>
        <v>3662</v>
      </c>
      <c r="E30" s="8"/>
      <c r="F30" s="8">
        <f>SUM(F26:F29)</f>
        <v>3387.1792200000054</v>
      </c>
      <c r="G30" s="8"/>
      <c r="H30" s="8">
        <f>SUM(H26:H29)</f>
        <v>3662</v>
      </c>
    </row>
    <row r="31" spans="1:8" s="7" customFormat="1" ht="11.25">
      <c r="A31" s="2"/>
      <c r="B31" s="10"/>
      <c r="C31" s="8"/>
      <c r="D31" s="10"/>
      <c r="E31" s="8"/>
      <c r="F31" s="10"/>
      <c r="G31" s="8"/>
      <c r="H31" s="10"/>
    </row>
    <row r="32" spans="1:8" s="7" customFormat="1" ht="11.25">
      <c r="A32" s="2" t="s">
        <v>24</v>
      </c>
      <c r="B32" s="8">
        <f>'[1]W1_P_L Conso'!N31/1000</f>
        <v>-261</v>
      </c>
      <c r="C32" s="8"/>
      <c r="D32" s="8">
        <v>-396</v>
      </c>
      <c r="E32" s="8"/>
      <c r="F32" s="8">
        <f>'[1]W1_P_L Conso'!N31/1000</f>
        <v>-261</v>
      </c>
      <c r="G32" s="8"/>
      <c r="H32" s="8">
        <v>-396</v>
      </c>
    </row>
    <row r="33" spans="1:8" s="7" customFormat="1" ht="11.25">
      <c r="A33" s="2"/>
      <c r="B33" s="9"/>
      <c r="C33" s="8"/>
      <c r="D33" s="9"/>
      <c r="E33" s="8"/>
      <c r="F33" s="9"/>
      <c r="G33" s="8"/>
      <c r="H33" s="9"/>
    </row>
    <row r="34" spans="1:8" s="7" customFormat="1" ht="11.25">
      <c r="A34" s="2" t="s">
        <v>25</v>
      </c>
      <c r="B34" s="12">
        <f>SUM(B30:B33)</f>
        <v>3126.1792200000054</v>
      </c>
      <c r="C34" s="8"/>
      <c r="D34" s="12">
        <f>SUM(D30:D33)</f>
        <v>3266</v>
      </c>
      <c r="E34" s="8"/>
      <c r="F34" s="12">
        <f>SUM(F30:F33)</f>
        <v>3126.1792200000054</v>
      </c>
      <c r="G34" s="8"/>
      <c r="H34" s="12">
        <f>SUM(H30:H33)</f>
        <v>3266</v>
      </c>
    </row>
    <row r="35" spans="2:8" s="7" customFormat="1" ht="11.25">
      <c r="B35" s="8"/>
      <c r="C35" s="8"/>
      <c r="D35" s="8"/>
      <c r="E35" s="8"/>
      <c r="F35" s="8"/>
      <c r="G35" s="8"/>
      <c r="H35" s="8"/>
    </row>
    <row r="36" spans="1:8" s="7" customFormat="1" ht="11.25">
      <c r="A36" s="2" t="s">
        <v>26</v>
      </c>
      <c r="B36" s="8">
        <f>'[1]W1_P_L Conso'!N35/1000</f>
        <v>0</v>
      </c>
      <c r="C36" s="8"/>
      <c r="D36" s="8">
        <v>0</v>
      </c>
      <c r="E36" s="8"/>
      <c r="F36" s="8">
        <f>'[1]W1_P_L Conso'!N35/1000</f>
        <v>0</v>
      </c>
      <c r="G36" s="8"/>
      <c r="H36" s="8">
        <v>0</v>
      </c>
    </row>
    <row r="37" spans="1:8" s="7" customFormat="1" ht="11.25">
      <c r="A37" s="2"/>
      <c r="B37" s="9"/>
      <c r="C37" s="8"/>
      <c r="D37" s="9"/>
      <c r="E37" s="8"/>
      <c r="F37" s="9"/>
      <c r="G37" s="8"/>
      <c r="H37" s="9"/>
    </row>
    <row r="38" spans="1:8" s="7" customFormat="1" ht="11.25" hidden="1">
      <c r="A38" s="2" t="s">
        <v>27</v>
      </c>
      <c r="B38" s="8">
        <f>SUM(B34:B37)</f>
        <v>3126.1792200000054</v>
      </c>
      <c r="C38" s="8"/>
      <c r="D38" s="8">
        <f>SUM(D34:D37)</f>
        <v>3266</v>
      </c>
      <c r="E38" s="8"/>
      <c r="F38" s="8">
        <f>SUM(F34:F37)</f>
        <v>3126.1792200000054</v>
      </c>
      <c r="G38" s="8"/>
      <c r="H38" s="8">
        <f>SUM(H34:H37)</f>
        <v>3266</v>
      </c>
    </row>
    <row r="39" spans="1:8" s="7" customFormat="1" ht="11.25" hidden="1">
      <c r="A39" s="2"/>
      <c r="B39" s="8"/>
      <c r="C39" s="8"/>
      <c r="D39" s="8"/>
      <c r="E39" s="8"/>
      <c r="F39" s="8"/>
      <c r="G39" s="8"/>
      <c r="H39" s="8"/>
    </row>
    <row r="40" spans="1:8" s="7" customFormat="1" ht="11.25" hidden="1">
      <c r="A40" s="2" t="s">
        <v>28</v>
      </c>
      <c r="B40" s="8" t="e">
        <f>'[1]W1_P_L Conso'!#REF!/1000</f>
        <v>#REF!</v>
      </c>
      <c r="C40" s="8"/>
      <c r="D40" s="8">
        <v>0</v>
      </c>
      <c r="E40" s="8"/>
      <c r="F40" s="8">
        <f>'[1]W1_P_L Conso'!N39/1000</f>
        <v>0.0012751978974358995</v>
      </c>
      <c r="G40" s="8"/>
      <c r="H40" s="8">
        <v>0</v>
      </c>
    </row>
    <row r="41" spans="2:8" s="7" customFormat="1" ht="11.25" hidden="1">
      <c r="B41" s="9"/>
      <c r="C41" s="8"/>
      <c r="D41" s="9"/>
      <c r="E41" s="8"/>
      <c r="F41" s="8"/>
      <c r="G41" s="8"/>
      <c r="H41" s="9"/>
    </row>
    <row r="42" spans="1:8" s="7" customFormat="1" ht="12" thickBot="1">
      <c r="A42" s="2" t="s">
        <v>29</v>
      </c>
      <c r="B42" s="13">
        <f>SUM(B34:B37)</f>
        <v>3126.1792200000054</v>
      </c>
      <c r="C42" s="8"/>
      <c r="D42" s="13">
        <f>SUM(D38:D41)</f>
        <v>3266</v>
      </c>
      <c r="E42" s="8"/>
      <c r="F42" s="14">
        <f>SUM(F38:F41)</f>
        <v>3126.180495197903</v>
      </c>
      <c r="G42" s="8"/>
      <c r="H42" s="13">
        <f>SUM(H38:H41)</f>
        <v>3266</v>
      </c>
    </row>
    <row r="43" spans="1:8" s="7" customFormat="1" ht="12" thickTop="1">
      <c r="A43" s="2"/>
      <c r="B43" s="8"/>
      <c r="C43" s="8"/>
      <c r="D43" s="8"/>
      <c r="E43" s="8"/>
      <c r="F43" s="8"/>
      <c r="G43" s="8"/>
      <c r="H43" s="8"/>
    </row>
    <row r="44" spans="1:8" s="7" customFormat="1" ht="11.25">
      <c r="A44" s="2"/>
      <c r="B44" s="8"/>
      <c r="C44" s="8"/>
      <c r="D44" s="8"/>
      <c r="E44" s="8"/>
      <c r="F44" s="8"/>
      <c r="G44" s="8"/>
      <c r="H44" s="8"/>
    </row>
    <row r="45" spans="1:8" s="7" customFormat="1" ht="11.25">
      <c r="A45" s="2" t="s">
        <v>30</v>
      </c>
      <c r="B45" s="9">
        <f>+'[1]Weighted Shares'!E39/1000</f>
        <v>245142.85714285716</v>
      </c>
      <c r="C45" s="8"/>
      <c r="D45" s="9">
        <v>132000</v>
      </c>
      <c r="E45" s="8"/>
      <c r="F45" s="9">
        <f>+'[1]Weighted Shares'!E17/1000</f>
        <v>245142.85714285716</v>
      </c>
      <c r="G45" s="8"/>
      <c r="H45" s="9">
        <v>132000</v>
      </c>
    </row>
    <row r="46" spans="1:8" s="7" customFormat="1" ht="11.25">
      <c r="A46" s="2"/>
      <c r="B46" s="11"/>
      <c r="C46" s="8"/>
      <c r="D46" s="8"/>
      <c r="E46" s="8"/>
      <c r="F46" s="11"/>
      <c r="G46" s="8"/>
      <c r="H46" s="11"/>
    </row>
    <row r="47" spans="1:8" s="7" customFormat="1" ht="11.25">
      <c r="A47" s="15" t="s">
        <v>31</v>
      </c>
      <c r="B47" s="11"/>
      <c r="C47" s="8"/>
      <c r="D47" s="8"/>
      <c r="E47" s="8"/>
      <c r="F47" s="11"/>
      <c r="G47" s="8"/>
      <c r="H47" s="11"/>
    </row>
    <row r="48" spans="1:8" s="7" customFormat="1" ht="12" thickBot="1">
      <c r="A48" s="15" t="s">
        <v>32</v>
      </c>
      <c r="B48" s="16">
        <f>'[1]Weighted Shares'!E22</f>
        <v>1.2751978974358995</v>
      </c>
      <c r="C48" s="17"/>
      <c r="D48" s="16">
        <f>D42/D45*100</f>
        <v>2.474242424242424</v>
      </c>
      <c r="E48" s="17"/>
      <c r="F48" s="16">
        <f>'[1]Weighted Shares'!E22</f>
        <v>1.2751978974358995</v>
      </c>
      <c r="G48" s="8"/>
      <c r="H48" s="16">
        <f>H42/H45*100</f>
        <v>2.474242424242424</v>
      </c>
    </row>
    <row r="49" spans="1:8" s="7" customFormat="1" ht="12.75" thickBot="1" thickTop="1">
      <c r="A49" s="15" t="s">
        <v>33</v>
      </c>
      <c r="B49" s="16">
        <f>'[1]Weighted Shares'!E29</f>
        <v>1.2751978974358995</v>
      </c>
      <c r="C49" s="17"/>
      <c r="D49" s="16">
        <v>2.45</v>
      </c>
      <c r="E49" s="17"/>
      <c r="F49" s="16">
        <f>+'[1]Weighted Shares'!E29</f>
        <v>1.2751978974358995</v>
      </c>
      <c r="G49" s="8"/>
      <c r="H49" s="16">
        <v>2.45</v>
      </c>
    </row>
  </sheetData>
  <sheetProtection password="CAC8" sheet="1" objects="1" scenarios="1"/>
  <mergeCells count="2">
    <mergeCell ref="B9:D9"/>
    <mergeCell ref="F9:H9"/>
  </mergeCells>
  <printOptions/>
  <pageMargins left="0.75" right="0.75" top="1" bottom="1" header="0.5" footer="0.5"/>
  <pageSetup fitToHeight="1" fitToWidth="1" orientation="portrait"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80"/>
  <sheetViews>
    <sheetView workbookViewId="0" topLeftCell="A19">
      <selection activeCell="A21" sqref="A21"/>
    </sheetView>
  </sheetViews>
  <sheetFormatPr defaultColWidth="9.140625" defaultRowHeight="12.75"/>
  <cols>
    <col min="1" max="1" width="68.28125" style="2" customWidth="1"/>
    <col min="2" max="2" width="12.57421875" style="2" customWidth="1"/>
    <col min="3" max="3" width="1.7109375" style="2" customWidth="1"/>
    <col min="4" max="4" width="12.57421875" style="3" customWidth="1"/>
    <col min="5" max="5" width="1.57421875" style="2" customWidth="1"/>
    <col min="6" max="16384" width="9.140625" style="2" customWidth="1"/>
  </cols>
  <sheetData>
    <row r="1" ht="11.25">
      <c r="A1" s="1" t="s">
        <v>0</v>
      </c>
    </row>
    <row r="2" ht="11.25">
      <c r="A2" s="1" t="s">
        <v>1</v>
      </c>
    </row>
    <row r="3" ht="11.25">
      <c r="A3" s="1"/>
    </row>
    <row r="5" ht="11.25">
      <c r="A5" s="6" t="s">
        <v>34</v>
      </c>
    </row>
    <row r="6" ht="11.25">
      <c r="A6" s="6" t="s">
        <v>4</v>
      </c>
    </row>
    <row r="7" ht="11.25">
      <c r="B7" s="3"/>
    </row>
    <row r="8" spans="2:4" ht="11.25">
      <c r="B8" s="3"/>
      <c r="D8" s="3" t="s">
        <v>35</v>
      </c>
    </row>
    <row r="9" spans="2:4" ht="11.25">
      <c r="B9" s="3" t="s">
        <v>36</v>
      </c>
      <c r="D9" s="3" t="s">
        <v>37</v>
      </c>
    </row>
    <row r="10" spans="2:4" ht="11.25">
      <c r="B10" s="3" t="s">
        <v>38</v>
      </c>
      <c r="D10" s="3" t="s">
        <v>39</v>
      </c>
    </row>
    <row r="11" spans="2:4" ht="11.25">
      <c r="B11" s="3" t="s">
        <v>10</v>
      </c>
      <c r="D11" s="3" t="s">
        <v>40</v>
      </c>
    </row>
    <row r="12" spans="2:4" ht="11.25">
      <c r="B12" s="3" t="s">
        <v>13</v>
      </c>
      <c r="D12" s="18" t="s">
        <v>41</v>
      </c>
    </row>
    <row r="13" spans="2:4" ht="11.25">
      <c r="B13" s="3" t="s">
        <v>15</v>
      </c>
      <c r="D13" s="3" t="s">
        <v>15</v>
      </c>
    </row>
    <row r="15" spans="1:4" s="7" customFormat="1" ht="11.25">
      <c r="A15" s="19" t="s">
        <v>42</v>
      </c>
      <c r="B15" s="7">
        <f>+'[1]W2_Mac_BS Conso'!L7/1000+'[1]W2_Mac_BS Conso'!L11/1000</f>
        <v>112859.23421000001</v>
      </c>
      <c r="C15" s="8"/>
      <c r="D15" s="8">
        <f>110936865/1000</f>
        <v>110936.865</v>
      </c>
    </row>
    <row r="16" spans="1:4" s="7" customFormat="1" ht="11.25">
      <c r="A16" s="19" t="s">
        <v>43</v>
      </c>
      <c r="B16" s="7">
        <f>'[1]W2_Mac_BS Conso'!L8/1000</f>
        <v>6922.714</v>
      </c>
      <c r="C16" s="8"/>
      <c r="D16" s="8">
        <f>7181334/1000</f>
        <v>7181.334</v>
      </c>
    </row>
    <row r="17" spans="1:4" s="7" customFormat="1" ht="11.25">
      <c r="A17" s="19" t="s">
        <v>44</v>
      </c>
      <c r="B17" s="7">
        <f>+'[1]W2_Mac_BS Conso'!L9/1000</f>
        <v>14800</v>
      </c>
      <c r="C17" s="8"/>
      <c r="D17" s="8">
        <f>14800000/1000</f>
        <v>14800</v>
      </c>
    </row>
    <row r="18" spans="1:4" s="7" customFormat="1" ht="11.25" hidden="1">
      <c r="A18" s="19" t="s">
        <v>45</v>
      </c>
      <c r="B18" s="7">
        <v>0</v>
      </c>
      <c r="C18" s="8"/>
      <c r="D18" s="8">
        <v>0</v>
      </c>
    </row>
    <row r="19" spans="1:4" s="7" customFormat="1" ht="11.25">
      <c r="A19" s="19" t="s">
        <v>46</v>
      </c>
      <c r="B19" s="7">
        <v>0</v>
      </c>
      <c r="C19" s="8"/>
      <c r="D19" s="8">
        <f>1403609/1000</f>
        <v>1403.609</v>
      </c>
    </row>
    <row r="20" spans="1:4" s="7" customFormat="1" ht="11.25">
      <c r="A20" s="19"/>
      <c r="B20" s="20">
        <f>SUM(B15:B19)</f>
        <v>134581.94821</v>
      </c>
      <c r="C20" s="8"/>
      <c r="D20" s="21">
        <f>SUM(D15:D19)</f>
        <v>134321.80800000002</v>
      </c>
    </row>
    <row r="21" spans="1:4" s="7" customFormat="1" ht="11.25">
      <c r="A21" s="19" t="s">
        <v>47</v>
      </c>
      <c r="B21" s="20"/>
      <c r="C21" s="8"/>
      <c r="D21" s="21"/>
    </row>
    <row r="22" spans="1:4" s="7" customFormat="1" ht="11.25">
      <c r="A22" s="7" t="s">
        <v>48</v>
      </c>
      <c r="B22" s="22">
        <f>+'[1]W2_Mac_BS Conso'!L15/1000</f>
        <v>17159.571</v>
      </c>
      <c r="C22" s="8"/>
      <c r="D22" s="23">
        <f>16791536/1000</f>
        <v>16791.536</v>
      </c>
    </row>
    <row r="23" spans="1:4" s="7" customFormat="1" ht="11.25">
      <c r="A23" s="7" t="s">
        <v>49</v>
      </c>
      <c r="B23" s="22">
        <f>+'[1]W2_Mac_BS Conso'!L16/1000+'[1]W2_Mac_BS Conso'!L19/1000+'[1]W2_Mac_BS Conso'!L24/1000-1</f>
        <v>41497.08243</v>
      </c>
      <c r="C23" s="8"/>
      <c r="D23" s="23">
        <f>33194556/1000</f>
        <v>33194.556</v>
      </c>
    </row>
    <row r="24" spans="1:4" s="7" customFormat="1" ht="11.25">
      <c r="A24" s="7" t="s">
        <v>50</v>
      </c>
      <c r="B24" s="22">
        <v>0</v>
      </c>
      <c r="C24" s="8"/>
      <c r="D24" s="23">
        <f>320553/1000</f>
        <v>320.553</v>
      </c>
    </row>
    <row r="25" spans="1:4" s="7" customFormat="1" ht="11.25">
      <c r="A25" s="7" t="s">
        <v>51</v>
      </c>
      <c r="B25" s="24">
        <f>+'[1]W2_Mac_BS Conso'!L23/1000+'[1]W2_Mac_BS Conso'!L22/1000</f>
        <v>56748.085620000005</v>
      </c>
      <c r="C25" s="8"/>
      <c r="D25" s="25">
        <f>33077090/1000</f>
        <v>33077.09</v>
      </c>
    </row>
    <row r="26" spans="2:4" s="7" customFormat="1" ht="11.25">
      <c r="B26" s="24">
        <f>SUM(B22:B25)</f>
        <v>115404.73905</v>
      </c>
      <c r="C26" s="8"/>
      <c r="D26" s="25">
        <f>SUM(D22:D25)</f>
        <v>83383.73499999999</v>
      </c>
    </row>
    <row r="27" spans="1:4" s="7" customFormat="1" ht="11.25">
      <c r="A27" s="19" t="s">
        <v>52</v>
      </c>
      <c r="B27" s="22"/>
      <c r="C27" s="8"/>
      <c r="D27" s="23"/>
    </row>
    <row r="28" spans="1:4" s="7" customFormat="1" ht="11.25">
      <c r="A28" s="7" t="s">
        <v>53</v>
      </c>
      <c r="B28" s="22">
        <f>+'[1]W2_Mac_BS Conso'!L38/1000</f>
        <v>34632.53079</v>
      </c>
      <c r="C28" s="8"/>
      <c r="D28" s="23">
        <f>35656620/1000</f>
        <v>35656.62</v>
      </c>
    </row>
    <row r="29" spans="1:4" s="7" customFormat="1" ht="11.25">
      <c r="A29" s="7" t="s">
        <v>54</v>
      </c>
      <c r="B29" s="22">
        <f>+'[1]W2_Mac_BS Conso'!L28/1000+'[1]W2_Mac_BS Conso'!L35/1000</f>
        <v>12121.280899999998</v>
      </c>
      <c r="C29" s="8"/>
      <c r="D29" s="23">
        <f>21189205/1000</f>
        <v>21189.205</v>
      </c>
    </row>
    <row r="30" spans="1:10" s="7" customFormat="1" ht="11.25">
      <c r="A30" s="7" t="s">
        <v>24</v>
      </c>
      <c r="B30" s="22">
        <f>+'[1]W2_Mac_BS Conso'!L41/1000-'[1]W2_Mac_BS Conso'!L21/1000</f>
        <v>208.97475</v>
      </c>
      <c r="C30" s="8"/>
      <c r="D30" s="23">
        <v>0</v>
      </c>
      <c r="F30" s="26"/>
      <c r="G30" s="26"/>
      <c r="H30" s="26"/>
      <c r="I30" s="26"/>
      <c r="J30" s="26"/>
    </row>
    <row r="31" spans="2:10" s="7" customFormat="1" ht="11.25">
      <c r="B31" s="27">
        <f>SUM(B28:B30)</f>
        <v>46962.786439999996</v>
      </c>
      <c r="C31" s="8"/>
      <c r="D31" s="28">
        <f>SUM(D28:D30)</f>
        <v>56845.825000000004</v>
      </c>
      <c r="F31" s="26"/>
      <c r="G31" s="26"/>
      <c r="H31" s="26"/>
      <c r="I31" s="26"/>
      <c r="J31" s="26"/>
    </row>
    <row r="32" spans="3:10" s="7" customFormat="1" ht="11.25">
      <c r="C32" s="8"/>
      <c r="D32" s="8"/>
      <c r="F32" s="26"/>
      <c r="G32" s="26"/>
      <c r="H32" s="26"/>
      <c r="I32" s="26"/>
      <c r="J32" s="26"/>
    </row>
    <row r="33" spans="1:10" s="7" customFormat="1" ht="11.25">
      <c r="A33" s="19" t="s">
        <v>55</v>
      </c>
      <c r="B33" s="7">
        <f>B26-B31</f>
        <v>68441.95261000001</v>
      </c>
      <c r="C33" s="8"/>
      <c r="D33" s="8">
        <f>D26-D31</f>
        <v>26537.90999999998</v>
      </c>
      <c r="F33" s="26"/>
      <c r="G33" s="26"/>
      <c r="H33" s="26"/>
      <c r="I33" s="26"/>
      <c r="J33" s="26"/>
    </row>
    <row r="34" spans="3:10" s="7" customFormat="1" ht="11.25">
      <c r="C34" s="8"/>
      <c r="D34" s="8"/>
      <c r="F34" s="26"/>
      <c r="G34" s="26"/>
      <c r="H34" s="26"/>
      <c r="I34" s="26"/>
      <c r="J34" s="26"/>
    </row>
    <row r="35" spans="2:10" s="7" customFormat="1" ht="12" thickBot="1">
      <c r="B35" s="29">
        <f>B20+B33</f>
        <v>203023.90082</v>
      </c>
      <c r="C35" s="8"/>
      <c r="D35" s="14">
        <f>D20+D33</f>
        <v>160859.718</v>
      </c>
      <c r="F35" s="26"/>
      <c r="G35" s="26"/>
      <c r="H35" s="26"/>
      <c r="I35" s="26"/>
      <c r="J35" s="26"/>
    </row>
    <row r="36" spans="3:10" s="7" customFormat="1" ht="12" thickTop="1">
      <c r="C36" s="8"/>
      <c r="D36" s="8"/>
      <c r="F36" s="26"/>
      <c r="G36" s="26"/>
      <c r="H36" s="26"/>
      <c r="I36" s="26"/>
      <c r="J36" s="26"/>
    </row>
    <row r="37" spans="1:10" ht="11.25">
      <c r="A37" s="6" t="s">
        <v>56</v>
      </c>
      <c r="B37" s="7">
        <f>+'[1]W2_Mac_BS Conso'!L48/1000</f>
        <v>132000</v>
      </c>
      <c r="C37" s="30"/>
      <c r="D37" s="8">
        <v>66000</v>
      </c>
      <c r="F37" s="26"/>
      <c r="G37" s="26"/>
      <c r="H37" s="26"/>
      <c r="I37" s="26"/>
      <c r="J37" s="26"/>
    </row>
    <row r="38" spans="1:10" ht="11.25">
      <c r="A38" s="6" t="s">
        <v>57</v>
      </c>
      <c r="B38" s="7">
        <v>41515</v>
      </c>
      <c r="C38" s="30"/>
      <c r="D38" s="8">
        <f>39793080/1000</f>
        <v>39793.08</v>
      </c>
      <c r="F38" s="31"/>
      <c r="G38" s="26"/>
      <c r="H38" s="26"/>
      <c r="I38" s="26"/>
      <c r="J38" s="26"/>
    </row>
    <row r="39" spans="1:10" ht="11.25">
      <c r="A39" s="6"/>
      <c r="B39" s="7"/>
      <c r="C39" s="30"/>
      <c r="D39" s="8"/>
      <c r="F39" s="31"/>
      <c r="G39" s="26"/>
      <c r="H39" s="26"/>
      <c r="I39" s="26"/>
      <c r="J39" s="26"/>
    </row>
    <row r="40" spans="1:10" ht="11.25">
      <c r="A40" s="6" t="s">
        <v>58</v>
      </c>
      <c r="B40" s="32">
        <f>SUM(B37:B39)</f>
        <v>173515</v>
      </c>
      <c r="C40" s="30"/>
      <c r="D40" s="12">
        <f>SUM(D37:D39)</f>
        <v>105793.08</v>
      </c>
      <c r="F40" s="26"/>
      <c r="G40" s="26"/>
      <c r="H40" s="26"/>
      <c r="I40" s="26"/>
      <c r="J40" s="26"/>
    </row>
    <row r="41" spans="1:10" ht="11.25">
      <c r="A41" s="6" t="s">
        <v>59</v>
      </c>
      <c r="B41" s="7">
        <f>+'[1]W2_Mac_BS Conso'!L61/1000</f>
        <v>0</v>
      </c>
      <c r="C41" s="30"/>
      <c r="D41" s="8">
        <f>32254107/1000</f>
        <v>32254.107</v>
      </c>
      <c r="F41" s="26"/>
      <c r="G41" s="26"/>
      <c r="H41" s="26"/>
      <c r="I41" s="26"/>
      <c r="J41" s="26"/>
    </row>
    <row r="42" spans="1:10" ht="11.25">
      <c r="A42" s="6" t="s">
        <v>60</v>
      </c>
      <c r="B42" s="7">
        <f>+'[1]W2_Mac_BS Conso'!L62/1000</f>
        <v>21690.79775</v>
      </c>
      <c r="C42" s="30"/>
      <c r="D42" s="8">
        <f>14994515/1000</f>
        <v>14994.515</v>
      </c>
      <c r="F42" s="26"/>
      <c r="G42" s="26"/>
      <c r="H42" s="26"/>
      <c r="I42" s="26"/>
      <c r="J42" s="26"/>
    </row>
    <row r="43" spans="1:10" ht="11.25">
      <c r="A43" s="6" t="s">
        <v>61</v>
      </c>
      <c r="B43" s="7">
        <f>+'[1]W2_Mac_BS Conso'!L64/1000</f>
        <v>7818.016</v>
      </c>
      <c r="C43" s="30"/>
      <c r="D43" s="8">
        <f>7818016/1000</f>
        <v>7818.016</v>
      </c>
      <c r="F43" s="26"/>
      <c r="G43" s="26"/>
      <c r="H43" s="26"/>
      <c r="I43" s="26"/>
      <c r="J43" s="26"/>
    </row>
    <row r="44" spans="1:10" ht="12" thickBot="1">
      <c r="A44" s="6"/>
      <c r="B44" s="29">
        <f>SUM(B40:B43)</f>
        <v>203023.81375</v>
      </c>
      <c r="C44" s="30"/>
      <c r="D44" s="14">
        <f>SUM(D40:D43)</f>
        <v>160859.718</v>
      </c>
      <c r="F44" s="31"/>
      <c r="G44" s="26"/>
      <c r="H44" s="26"/>
      <c r="I44" s="26"/>
      <c r="J44" s="26"/>
    </row>
    <row r="45" spans="1:4" ht="12" thickTop="1">
      <c r="A45" s="30"/>
      <c r="B45" s="33"/>
      <c r="C45" s="30"/>
      <c r="D45" s="34"/>
    </row>
    <row r="46" spans="1:4" ht="12" thickBot="1">
      <c r="A46" s="4" t="s">
        <v>62</v>
      </c>
      <c r="B46" s="35">
        <f>(B40-B19)/(B37*2)</f>
        <v>0.6572537878787879</v>
      </c>
      <c r="C46" s="36"/>
      <c r="D46" s="37">
        <f>(D40-D19)/(D37*2)</f>
        <v>0.7908293257575758</v>
      </c>
    </row>
    <row r="47" spans="1:4" ht="11.25">
      <c r="A47" s="30"/>
      <c r="B47" s="33"/>
      <c r="C47" s="30"/>
      <c r="D47" s="30"/>
    </row>
    <row r="48" spans="3:4" ht="11.25">
      <c r="C48" s="30"/>
      <c r="D48" s="30"/>
    </row>
    <row r="49" spans="3:4" ht="11.25">
      <c r="C49" s="30"/>
      <c r="D49" s="30"/>
    </row>
    <row r="50" spans="3:4" ht="11.25">
      <c r="C50" s="30"/>
      <c r="D50" s="30"/>
    </row>
    <row r="51" spans="3:4" ht="11.25">
      <c r="C51" s="30"/>
      <c r="D51" s="30"/>
    </row>
    <row r="52" spans="3:4" ht="11.25">
      <c r="C52" s="30"/>
      <c r="D52" s="30"/>
    </row>
    <row r="53" spans="3:4" ht="11.25">
      <c r="C53" s="30"/>
      <c r="D53" s="30"/>
    </row>
    <row r="54" spans="3:4" ht="11.25">
      <c r="C54" s="30"/>
      <c r="D54" s="30"/>
    </row>
    <row r="55" spans="3:4" ht="11.25">
      <c r="C55" s="30"/>
      <c r="D55" s="30"/>
    </row>
    <row r="56" spans="3:4" ht="11.25">
      <c r="C56" s="30"/>
      <c r="D56" s="30"/>
    </row>
    <row r="57" spans="3:4" ht="11.25">
      <c r="C57" s="30"/>
      <c r="D57" s="30"/>
    </row>
    <row r="58" spans="3:4" ht="11.25">
      <c r="C58" s="30"/>
      <c r="D58" s="30"/>
    </row>
    <row r="59" spans="3:4" ht="11.25">
      <c r="C59" s="30"/>
      <c r="D59" s="30"/>
    </row>
    <row r="60" spans="3:4" ht="11.25">
      <c r="C60" s="30"/>
      <c r="D60" s="30"/>
    </row>
    <row r="61" spans="3:4" ht="11.25">
      <c r="C61" s="30"/>
      <c r="D61" s="30"/>
    </row>
    <row r="62" spans="3:4" ht="11.25">
      <c r="C62" s="30"/>
      <c r="D62" s="30"/>
    </row>
    <row r="63" spans="3:4" ht="11.25">
      <c r="C63" s="30"/>
      <c r="D63" s="30"/>
    </row>
    <row r="64" spans="3:4" ht="11.25">
      <c r="C64" s="30"/>
      <c r="D64" s="30"/>
    </row>
    <row r="65" spans="3:4" ht="11.25">
      <c r="C65" s="30"/>
      <c r="D65" s="30"/>
    </row>
    <row r="66" spans="3:4" ht="11.25">
      <c r="C66" s="30"/>
      <c r="D66" s="30"/>
    </row>
    <row r="67" spans="3:4" ht="11.25">
      <c r="C67" s="30"/>
      <c r="D67" s="30"/>
    </row>
    <row r="68" spans="3:4" ht="11.25">
      <c r="C68" s="30"/>
      <c r="D68" s="30"/>
    </row>
    <row r="69" spans="3:4" ht="11.25">
      <c r="C69" s="30"/>
      <c r="D69" s="30"/>
    </row>
    <row r="70" spans="3:4" ht="11.25">
      <c r="C70" s="30"/>
      <c r="D70" s="30"/>
    </row>
    <row r="71" spans="3:4" ht="11.25">
      <c r="C71" s="30"/>
      <c r="D71" s="30"/>
    </row>
    <row r="72" spans="3:4" ht="11.25">
      <c r="C72" s="30"/>
      <c r="D72" s="30"/>
    </row>
    <row r="73" spans="3:4" ht="11.25">
      <c r="C73" s="30"/>
      <c r="D73" s="30"/>
    </row>
    <row r="74" spans="3:4" ht="11.25">
      <c r="C74" s="30"/>
      <c r="D74" s="30"/>
    </row>
    <row r="75" spans="3:4" ht="11.25">
      <c r="C75" s="30"/>
      <c r="D75" s="30"/>
    </row>
    <row r="76" spans="3:4" ht="11.25">
      <c r="C76" s="30"/>
      <c r="D76" s="30"/>
    </row>
    <row r="77" spans="3:4" ht="11.25">
      <c r="C77" s="30"/>
      <c r="D77" s="30"/>
    </row>
    <row r="78" spans="3:4" ht="11.25">
      <c r="C78" s="30"/>
      <c r="D78" s="30"/>
    </row>
    <row r="79" spans="3:4" ht="11.25">
      <c r="C79" s="30"/>
      <c r="D79" s="30"/>
    </row>
    <row r="80" spans="3:4" ht="11.25">
      <c r="C80" s="30"/>
      <c r="D80" s="30"/>
    </row>
  </sheetData>
  <sheetProtection password="CAC8" sheet="1" objects="1" scenarios="1"/>
  <printOptions/>
  <pageMargins left="0.75" right="0.75" top="1" bottom="1" header="0.5" footer="0.5"/>
  <pageSetup fitToHeight="1" fitToWidth="1" orientation="portrait"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workbookViewId="0" topLeftCell="A31">
      <selection activeCell="A15" sqref="A15"/>
    </sheetView>
  </sheetViews>
  <sheetFormatPr defaultColWidth="9.140625" defaultRowHeight="12.75"/>
  <cols>
    <col min="1" max="1" width="34.57421875" style="2" customWidth="1"/>
    <col min="2" max="2" width="11.140625" style="7" customWidth="1"/>
    <col min="3" max="3" width="13.57421875" style="7" customWidth="1"/>
    <col min="4" max="4" width="13.8515625" style="7" customWidth="1"/>
    <col min="5" max="5" width="10.8515625" style="7" customWidth="1"/>
    <col min="6" max="6" width="5.8515625" style="2" customWidth="1"/>
    <col min="7" max="7" width="1.28515625" style="2" customWidth="1"/>
    <col min="8" max="9" width="9.140625" style="2" customWidth="1"/>
    <col min="10" max="10" width="8.421875" style="2" customWidth="1"/>
    <col min="11" max="16384" width="9.140625" style="2" customWidth="1"/>
  </cols>
  <sheetData>
    <row r="1" ht="11.25">
      <c r="A1" s="1" t="s">
        <v>0</v>
      </c>
    </row>
    <row r="2" ht="11.25">
      <c r="A2" s="1" t="s">
        <v>1</v>
      </c>
    </row>
    <row r="3" ht="11.25">
      <c r="A3" s="1"/>
    </row>
    <row r="5" ht="11.25">
      <c r="A5" s="6" t="s">
        <v>74</v>
      </c>
    </row>
    <row r="6" ht="11.25">
      <c r="A6" s="4" t="s">
        <v>3</v>
      </c>
    </row>
    <row r="7" ht="11.25">
      <c r="A7" s="6" t="s">
        <v>4</v>
      </c>
    </row>
    <row r="8" ht="11.25">
      <c r="A8" s="6"/>
    </row>
    <row r="9" ht="11.25">
      <c r="A9" s="6"/>
    </row>
    <row r="10" spans="3:4" ht="11.25">
      <c r="C10" s="46" t="s">
        <v>75</v>
      </c>
      <c r="D10" s="7" t="s">
        <v>76</v>
      </c>
    </row>
    <row r="11" spans="2:4" ht="11.25">
      <c r="B11" s="46" t="s">
        <v>77</v>
      </c>
      <c r="C11" s="46" t="s">
        <v>78</v>
      </c>
      <c r="D11" s="46" t="s">
        <v>77</v>
      </c>
    </row>
    <row r="12" spans="2:5" ht="11.25">
      <c r="B12" s="46" t="s">
        <v>79</v>
      </c>
      <c r="C12" s="46" t="s">
        <v>80</v>
      </c>
      <c r="D12" s="46" t="s">
        <v>81</v>
      </c>
      <c r="E12" s="46" t="s">
        <v>82</v>
      </c>
    </row>
    <row r="13" spans="2:5" ht="11.25">
      <c r="B13" s="46" t="s">
        <v>15</v>
      </c>
      <c r="C13" s="46" t="s">
        <v>15</v>
      </c>
      <c r="D13" s="46" t="s">
        <v>15</v>
      </c>
      <c r="E13" s="46" t="s">
        <v>15</v>
      </c>
    </row>
    <row r="14" spans="2:5" ht="11.25">
      <c r="B14" s="46"/>
      <c r="C14" s="46"/>
      <c r="E14" s="46"/>
    </row>
    <row r="15" spans="1:5" ht="11.25">
      <c r="A15" s="6" t="s">
        <v>83</v>
      </c>
      <c r="B15" s="47">
        <v>60000</v>
      </c>
      <c r="C15" s="19">
        <f>15494693/1000</f>
        <v>15494.693</v>
      </c>
      <c r="D15" s="19">
        <f>447028/1000</f>
        <v>447.028</v>
      </c>
      <c r="E15" s="47">
        <f>SUM(B15:D15)</f>
        <v>75941.721</v>
      </c>
    </row>
    <row r="17" spans="1:5" ht="11.25">
      <c r="A17" s="2" t="s">
        <v>84</v>
      </c>
      <c r="B17" s="48">
        <v>0</v>
      </c>
      <c r="C17" s="32">
        <f>-3602061/1000</f>
        <v>-3602.061</v>
      </c>
      <c r="D17" s="32">
        <v>0</v>
      </c>
      <c r="E17" s="49">
        <f>SUM(B17:D17)</f>
        <v>-3602.061</v>
      </c>
    </row>
    <row r="18" spans="2:5" ht="11.25">
      <c r="B18" s="50"/>
      <c r="C18" s="51"/>
      <c r="D18" s="51"/>
      <c r="E18" s="52"/>
    </row>
    <row r="19" spans="1:5" ht="11.25">
      <c r="A19" s="2" t="s">
        <v>85</v>
      </c>
      <c r="B19" s="19">
        <f>SUM(B15:B18)</f>
        <v>60000</v>
      </c>
      <c r="C19" s="19">
        <f>SUM(C15:C18)</f>
        <v>11892.632</v>
      </c>
      <c r="D19" s="19">
        <f>SUM(D15:D18)</f>
        <v>447.028</v>
      </c>
      <c r="E19" s="47">
        <f>SUM(B19:D19)</f>
        <v>72339.66</v>
      </c>
    </row>
    <row r="20" ht="11.25">
      <c r="E20" s="8"/>
    </row>
    <row r="21" spans="1:5" ht="11.25">
      <c r="A21" s="2" t="s">
        <v>86</v>
      </c>
      <c r="B21" s="7">
        <v>0</v>
      </c>
      <c r="C21" s="7">
        <f>4406968/1000</f>
        <v>4406.968</v>
      </c>
      <c r="D21" s="7">
        <v>0</v>
      </c>
      <c r="E21" s="7">
        <f>SUM(B21:D21)</f>
        <v>4406.968</v>
      </c>
    </row>
    <row r="22" spans="2:5" ht="11.25">
      <c r="B22" s="46"/>
      <c r="C22" s="46"/>
      <c r="D22" s="46"/>
      <c r="E22" s="46"/>
    </row>
    <row r="23" spans="1:5" ht="11.25">
      <c r="A23" s="2" t="s">
        <v>87</v>
      </c>
      <c r="B23" s="7">
        <f>6000000/1000</f>
        <v>6000</v>
      </c>
      <c r="C23" s="7">
        <v>0</v>
      </c>
      <c r="D23" s="7">
        <f>1320000/1000</f>
        <v>1320</v>
      </c>
      <c r="E23" s="8">
        <f>SUM(B23:D23)</f>
        <v>7320</v>
      </c>
    </row>
    <row r="24" ht="11.25">
      <c r="E24" s="8"/>
    </row>
    <row r="25" spans="1:5" ht="11.25">
      <c r="A25" s="2" t="s">
        <v>88</v>
      </c>
      <c r="B25" s="48"/>
      <c r="C25" s="32"/>
      <c r="D25" s="32"/>
      <c r="E25" s="49"/>
    </row>
    <row r="26" spans="1:5" ht="11.25">
      <c r="A26" s="2" t="s">
        <v>89</v>
      </c>
      <c r="B26" s="53">
        <v>0</v>
      </c>
      <c r="C26" s="7">
        <v>0</v>
      </c>
      <c r="D26" s="7">
        <f>-96190/1000</f>
        <v>-96.19</v>
      </c>
      <c r="E26" s="54">
        <f>SUM(B26:D26)</f>
        <v>-96.19</v>
      </c>
    </row>
    <row r="27" spans="2:5" ht="11.25">
      <c r="B27" s="53"/>
      <c r="E27" s="54"/>
    </row>
    <row r="28" spans="1:5" ht="11.25">
      <c r="A28" s="2" t="s">
        <v>90</v>
      </c>
      <c r="B28" s="53">
        <v>0</v>
      </c>
      <c r="C28" s="7">
        <f>373052/1000</f>
        <v>373.052</v>
      </c>
      <c r="D28" s="7">
        <v>0</v>
      </c>
      <c r="E28" s="54">
        <f>SUM(B28:D28)</f>
        <v>373.052</v>
      </c>
    </row>
    <row r="29" spans="1:5" ht="11.25">
      <c r="A29" s="2" t="s">
        <v>91</v>
      </c>
      <c r="B29" s="50"/>
      <c r="C29" s="51"/>
      <c r="D29" s="51"/>
      <c r="E29" s="52"/>
    </row>
    <row r="30" ht="11.25">
      <c r="E30" s="8"/>
    </row>
    <row r="31" spans="1:5" ht="11.25">
      <c r="A31" s="2" t="s">
        <v>92</v>
      </c>
      <c r="B31" s="19">
        <f>SUM(B25:B30)</f>
        <v>0</v>
      </c>
      <c r="C31" s="19">
        <f>SUM(C25:C30)</f>
        <v>373.052</v>
      </c>
      <c r="D31" s="19">
        <f>SUM(D25:D30)</f>
        <v>-96.19</v>
      </c>
      <c r="E31" s="19">
        <f>SUM(B31:D31)</f>
        <v>276.862</v>
      </c>
    </row>
    <row r="32" spans="1:5" ht="11.25">
      <c r="A32" s="2" t="s">
        <v>93</v>
      </c>
      <c r="E32" s="8"/>
    </row>
    <row r="33" ht="11.25">
      <c r="E33" s="8"/>
    </row>
    <row r="34" spans="1:5" ht="11.25">
      <c r="A34" s="2" t="s">
        <v>94</v>
      </c>
      <c r="E34" s="8"/>
    </row>
    <row r="35" spans="1:5" ht="11.25">
      <c r="A35" s="6" t="s">
        <v>95</v>
      </c>
      <c r="B35" s="7">
        <v>0</v>
      </c>
      <c r="C35" s="7">
        <f>-3960000/1000</f>
        <v>-3960</v>
      </c>
      <c r="D35" s="7">
        <v>0</v>
      </c>
      <c r="E35" s="8">
        <f>SUM(B35:D35)</f>
        <v>-3960</v>
      </c>
    </row>
    <row r="36" spans="1:5" ht="11.25">
      <c r="A36" s="6"/>
      <c r="E36" s="8"/>
    </row>
    <row r="37" spans="1:5" ht="11.25">
      <c r="A37" s="2" t="s">
        <v>96</v>
      </c>
      <c r="B37" s="46">
        <v>0</v>
      </c>
      <c r="C37" s="46">
        <f>14234632/1000</f>
        <v>14234.632</v>
      </c>
      <c r="D37" s="46">
        <v>0</v>
      </c>
      <c r="E37" s="7">
        <f>SUM(B37:D37)</f>
        <v>14234.632</v>
      </c>
    </row>
    <row r="38" spans="2:5" ht="11.25">
      <c r="B38" s="55"/>
      <c r="C38" s="55"/>
      <c r="D38" s="55"/>
      <c r="E38" s="55"/>
    </row>
    <row r="39" spans="1:5" ht="11.25">
      <c r="A39" s="6" t="s">
        <v>97</v>
      </c>
      <c r="B39" s="47">
        <f>B19+B21+B23+B31+B35+B37</f>
        <v>66000</v>
      </c>
      <c r="C39" s="47">
        <f>C19+C21+C23+C31+C35+C37</f>
        <v>26947.284</v>
      </c>
      <c r="D39" s="47">
        <f>D19+D21+D23+D31+D35+D37</f>
        <v>1670.838</v>
      </c>
      <c r="E39" s="47">
        <f>SUM(B39:D39)</f>
        <v>94618.122</v>
      </c>
    </row>
    <row r="40" spans="1:5" ht="11.25">
      <c r="A40" s="6"/>
      <c r="B40" s="8"/>
      <c r="E40" s="8"/>
    </row>
    <row r="41" spans="1:5" ht="11.25">
      <c r="A41" s="2" t="s">
        <v>98</v>
      </c>
      <c r="B41" s="56">
        <v>0</v>
      </c>
      <c r="C41" s="20">
        <v>0</v>
      </c>
      <c r="D41" s="20">
        <v>-42</v>
      </c>
      <c r="E41" s="57">
        <f>SUM(B41:D41)</f>
        <v>-42</v>
      </c>
    </row>
    <row r="42" ht="11.25">
      <c r="E42" s="8"/>
    </row>
    <row r="43" spans="1:5" ht="11.25">
      <c r="A43" s="2" t="s">
        <v>92</v>
      </c>
      <c r="B43" s="19">
        <f>B41</f>
        <v>0</v>
      </c>
      <c r="C43" s="19">
        <v>0</v>
      </c>
      <c r="D43" s="19">
        <f>D41</f>
        <v>-42</v>
      </c>
      <c r="E43" s="19">
        <f>E41</f>
        <v>-42</v>
      </c>
    </row>
    <row r="44" spans="1:5" ht="11.25">
      <c r="A44" s="2" t="s">
        <v>93</v>
      </c>
      <c r="E44" s="8"/>
    </row>
    <row r="46" spans="1:5" ht="11.25">
      <c r="A46" s="2" t="s">
        <v>99</v>
      </c>
      <c r="B46" s="7">
        <v>0</v>
      </c>
      <c r="C46" s="7">
        <v>11217</v>
      </c>
      <c r="D46" s="7">
        <v>0</v>
      </c>
      <c r="E46" s="8">
        <f>SUM(B46:D46)</f>
        <v>11217</v>
      </c>
    </row>
    <row r="48" spans="1:5" ht="12" thickBot="1">
      <c r="A48" s="6" t="s">
        <v>100</v>
      </c>
      <c r="B48" s="58">
        <f>B39+B43+B46</f>
        <v>66000</v>
      </c>
      <c r="C48" s="58">
        <f>C39+C43+C46</f>
        <v>38164.284</v>
      </c>
      <c r="D48" s="58">
        <f>D39+D43+D46</f>
        <v>1628.838</v>
      </c>
      <c r="E48" s="58">
        <f>E39+E43+E46</f>
        <v>105793.122</v>
      </c>
    </row>
    <row r="49" ht="12" thickTop="1"/>
    <row r="51" spans="1:5" ht="11.25">
      <c r="A51" s="2" t="s">
        <v>101</v>
      </c>
      <c r="B51" s="7">
        <f>SUM(B48:B50)</f>
        <v>66000</v>
      </c>
      <c r="C51" s="7">
        <v>0</v>
      </c>
      <c r="D51" s="7">
        <v>0</v>
      </c>
      <c r="E51" s="7">
        <f>SUM(B51:D51)</f>
        <v>66000</v>
      </c>
    </row>
    <row r="52" spans="1:5" ht="11.25">
      <c r="A52" s="2" t="s">
        <v>102</v>
      </c>
      <c r="D52" s="7">
        <v>-1404</v>
      </c>
      <c r="E52" s="7">
        <f>SUM(B52:D52)</f>
        <v>-1404</v>
      </c>
    </row>
    <row r="53" spans="1:5" ht="11.25">
      <c r="A53" s="2" t="s">
        <v>103</v>
      </c>
      <c r="B53" s="7">
        <v>0</v>
      </c>
      <c r="C53" s="7">
        <f>'[1]IS'!B42</f>
        <v>3126.0565600000054</v>
      </c>
      <c r="D53" s="7">
        <v>0</v>
      </c>
      <c r="E53" s="7">
        <f>SUM(B53:D53)</f>
        <v>3126.0565600000054</v>
      </c>
    </row>
    <row r="55" spans="1:5" ht="12" thickBot="1">
      <c r="A55" s="6" t="s">
        <v>104</v>
      </c>
      <c r="B55" s="58">
        <f>SUM(B48:B51)</f>
        <v>132000</v>
      </c>
      <c r="C55" s="58">
        <f>SUM(C48:C53)</f>
        <v>41290.340560000004</v>
      </c>
      <c r="D55" s="58">
        <f>SUM(D48:D53)</f>
        <v>224.83799999999997</v>
      </c>
      <c r="E55" s="58">
        <f>SUM(E48:E53)</f>
        <v>173515.17856</v>
      </c>
    </row>
  </sheetData>
  <sheetProtection password="CAC8" sheet="1" objects="1" scenarios="1"/>
  <printOptions/>
  <pageMargins left="0.75" right="0.75" top="1" bottom="1" header="0.5" footer="0.5"/>
  <pageSetup fitToHeight="1" fitToWidth="1" orientation="portrait" scale="98" r:id="rId2"/>
  <drawing r:id="rId1"/>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H29" sqref="H29"/>
    </sheetView>
  </sheetViews>
  <sheetFormatPr defaultColWidth="9.140625" defaultRowHeight="12.75"/>
  <cols>
    <col min="1" max="1" width="50.00390625" style="2" customWidth="1"/>
    <col min="2" max="2" width="2.421875" style="2" customWidth="1"/>
    <col min="3" max="3" width="14.57421875" style="7" customWidth="1"/>
    <col min="4" max="4" width="1.7109375" style="2" customWidth="1"/>
    <col min="5" max="5" width="12.8515625" style="2" customWidth="1"/>
    <col min="6" max="6" width="1.57421875" style="2" customWidth="1"/>
    <col min="7" max="8" width="9.140625" style="2" customWidth="1"/>
    <col min="9" max="9" width="9.57421875" style="2" customWidth="1"/>
    <col min="10" max="16384" width="9.140625" style="2" customWidth="1"/>
  </cols>
  <sheetData>
    <row r="1" ht="11.25">
      <c r="A1" s="1" t="s">
        <v>0</v>
      </c>
    </row>
    <row r="2" ht="11.25">
      <c r="A2" s="1" t="s">
        <v>1</v>
      </c>
    </row>
    <row r="3" ht="11.25">
      <c r="A3" s="1"/>
    </row>
    <row r="5" ht="11.25">
      <c r="A5" s="6" t="s">
        <v>63</v>
      </c>
    </row>
    <row r="6" ht="11.25">
      <c r="A6" s="4" t="s">
        <v>3</v>
      </c>
    </row>
    <row r="7" spans="1:3" ht="11.25">
      <c r="A7" s="6" t="s">
        <v>4</v>
      </c>
      <c r="C7" s="2"/>
    </row>
    <row r="8" spans="1:5" ht="11.25">
      <c r="A8" s="6"/>
      <c r="C8" s="3"/>
      <c r="E8" s="3"/>
    </row>
    <row r="9" spans="1:5" ht="11.25">
      <c r="A9" s="6"/>
      <c r="C9" s="3" t="s">
        <v>64</v>
      </c>
      <c r="D9" s="3"/>
      <c r="E9" s="3" t="s">
        <v>64</v>
      </c>
    </row>
    <row r="10" spans="1:5" ht="11.25">
      <c r="A10" s="6"/>
      <c r="C10" s="3" t="s">
        <v>8</v>
      </c>
      <c r="E10" s="3" t="s">
        <v>7</v>
      </c>
    </row>
    <row r="11" spans="1:5" ht="11.25">
      <c r="A11" s="6"/>
      <c r="C11" s="3" t="s">
        <v>10</v>
      </c>
      <c r="E11" s="3" t="s">
        <v>12</v>
      </c>
    </row>
    <row r="12" spans="1:5" ht="11.25">
      <c r="A12" s="6"/>
      <c r="B12" s="6"/>
      <c r="C12" s="38" t="s">
        <v>13</v>
      </c>
      <c r="D12" s="38"/>
      <c r="E12" s="38" t="s">
        <v>41</v>
      </c>
    </row>
    <row r="13" spans="1:5" ht="11.25">
      <c r="A13" s="6"/>
      <c r="C13" s="3" t="s">
        <v>15</v>
      </c>
      <c r="D13" s="3"/>
      <c r="E13" s="3" t="s">
        <v>15</v>
      </c>
    </row>
    <row r="14" spans="1:3" ht="11.25">
      <c r="A14" s="6"/>
      <c r="C14" s="2"/>
    </row>
    <row r="15" spans="1:9" ht="11.25">
      <c r="A15" s="6" t="s">
        <v>65</v>
      </c>
      <c r="C15" s="39">
        <f>+'[1]W3_CF Conso'!L45/1000</f>
        <v>-10864.58963</v>
      </c>
      <c r="D15" s="7"/>
      <c r="E15" s="39">
        <f>12339803/1000</f>
        <v>12339.803</v>
      </c>
      <c r="I15" s="40"/>
    </row>
    <row r="16" spans="1:9" ht="11.25">
      <c r="A16" s="6"/>
      <c r="C16" s="39"/>
      <c r="D16" s="7"/>
      <c r="E16" s="39"/>
      <c r="I16" s="40"/>
    </row>
    <row r="17" spans="1:9" ht="11.25">
      <c r="A17" s="6" t="s">
        <v>66</v>
      </c>
      <c r="C17" s="39">
        <f>+'[1]W3_CF Conso'!L54/1000</f>
        <v>-3317.9088200000065</v>
      </c>
      <c r="D17" s="7"/>
      <c r="E17" s="39">
        <f>-26874393/1000</f>
        <v>-26874.393</v>
      </c>
      <c r="I17" s="40"/>
    </row>
    <row r="18" spans="3:9" ht="11.25">
      <c r="C18" s="39"/>
      <c r="D18" s="7"/>
      <c r="E18" s="39"/>
      <c r="I18" s="40"/>
    </row>
    <row r="19" spans="1:9" ht="11.25">
      <c r="A19" s="6" t="s">
        <v>67</v>
      </c>
      <c r="C19" s="39">
        <f>+'[1]W3_CF Conso'!L64/1000</f>
        <v>38159.866030000005</v>
      </c>
      <c r="D19" s="7"/>
      <c r="E19" s="39">
        <f>42347311/1000</f>
        <v>42347.311</v>
      </c>
      <c r="I19" s="40"/>
    </row>
    <row r="20" spans="3:9" ht="11.25">
      <c r="C20" s="41"/>
      <c r="D20" s="7"/>
      <c r="E20" s="41"/>
      <c r="I20" s="40"/>
    </row>
    <row r="21" spans="1:9" ht="11.25">
      <c r="A21" s="6" t="s">
        <v>68</v>
      </c>
      <c r="C21" s="39">
        <f>SUM(C15:C19)</f>
        <v>23977.36758</v>
      </c>
      <c r="D21" s="7"/>
      <c r="E21" s="39">
        <f>SUM(E15:E19)</f>
        <v>27812.721</v>
      </c>
      <c r="I21" s="40"/>
    </row>
    <row r="22" spans="3:9" ht="11.25">
      <c r="C22" s="39"/>
      <c r="D22" s="7"/>
      <c r="E22" s="39"/>
      <c r="I22" s="40"/>
    </row>
    <row r="23" spans="1:9" ht="11.25">
      <c r="A23" s="6" t="s">
        <v>69</v>
      </c>
      <c r="C23" s="42">
        <f>+'[1]W3_CF Conso'!L68/1000</f>
        <v>27433.21989</v>
      </c>
      <c r="D23" s="7"/>
      <c r="E23" s="39">
        <f>-379501/1000</f>
        <v>-379.501</v>
      </c>
      <c r="I23" s="40"/>
    </row>
    <row r="24" spans="3:9" ht="11.25">
      <c r="C24" s="39"/>
      <c r="D24" s="7"/>
      <c r="E24" s="39"/>
      <c r="I24" s="40"/>
    </row>
    <row r="25" spans="1:9" ht="12" thickBot="1">
      <c r="A25" s="6" t="s">
        <v>70</v>
      </c>
      <c r="C25" s="43">
        <f>SUM(C21:C24)</f>
        <v>51410.58747</v>
      </c>
      <c r="D25" s="7"/>
      <c r="E25" s="43">
        <f>SUM(E21:E24)</f>
        <v>27433.22</v>
      </c>
      <c r="I25" s="40"/>
    </row>
    <row r="26" spans="3:9" ht="12" thickTop="1">
      <c r="C26" s="39"/>
      <c r="E26" s="39"/>
      <c r="I26" s="40"/>
    </row>
    <row r="27" spans="3:9" ht="11.25">
      <c r="C27" s="39"/>
      <c r="E27" s="39"/>
      <c r="I27" s="40"/>
    </row>
    <row r="28" spans="1:9" ht="11.25">
      <c r="A28" s="44" t="s">
        <v>71</v>
      </c>
      <c r="C28" s="39"/>
      <c r="E28" s="39"/>
      <c r="I28" s="40"/>
    </row>
    <row r="29" spans="3:9" ht="11.25">
      <c r="C29" s="39"/>
      <c r="E29" s="39"/>
      <c r="I29" s="40"/>
    </row>
    <row r="30" spans="1:9" ht="11.25">
      <c r="A30" s="2" t="s">
        <v>72</v>
      </c>
      <c r="C30" s="39">
        <f>+'[1]W3_CF Conso'!L73/1000</f>
        <v>56748.08611</v>
      </c>
      <c r="E30" s="39">
        <f>33077090/1000</f>
        <v>33077.09</v>
      </c>
      <c r="I30" s="40"/>
    </row>
    <row r="31" spans="1:9" ht="11.25">
      <c r="A31" s="2" t="s">
        <v>73</v>
      </c>
      <c r="C31" s="39">
        <f>+'[1]W3_CF Conso'!L75/1000</f>
        <v>-5337.49875</v>
      </c>
      <c r="E31" s="39">
        <f>-5643870/1000</f>
        <v>-5643.87</v>
      </c>
      <c r="I31" s="40"/>
    </row>
    <row r="32" spans="3:9" ht="11.25">
      <c r="C32" s="39"/>
      <c r="E32" s="39"/>
      <c r="I32" s="40"/>
    </row>
    <row r="33" spans="1:9" ht="12" thickBot="1">
      <c r="A33" s="6" t="s">
        <v>70</v>
      </c>
      <c r="C33" s="43">
        <f>SUM(C30:C32)</f>
        <v>51410.58736</v>
      </c>
      <c r="E33" s="43">
        <f>SUM(E30:E32)</f>
        <v>27433.219999999998</v>
      </c>
      <c r="I33" s="40"/>
    </row>
    <row r="34" spans="3:5" ht="12" thickTop="1">
      <c r="C34" s="39"/>
      <c r="E34" s="39"/>
    </row>
    <row r="35" spans="3:5" ht="11.25">
      <c r="C35" s="45"/>
      <c r="E35" s="7"/>
    </row>
  </sheetData>
  <sheetProtection password="CAC8" sheet="1" objects="1" scenarios="1"/>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N396"/>
  <sheetViews>
    <sheetView tabSelected="1" workbookViewId="0" topLeftCell="A16">
      <selection activeCell="I16" sqref="I16"/>
    </sheetView>
  </sheetViews>
  <sheetFormatPr defaultColWidth="9.140625" defaultRowHeight="12.75"/>
  <cols>
    <col min="1" max="1" width="4.57421875" style="62" customWidth="1"/>
    <col min="2" max="2" width="11.57421875" style="60" customWidth="1"/>
    <col min="3" max="3" width="14.7109375" style="60" customWidth="1"/>
    <col min="4" max="5" width="11.7109375" style="60" customWidth="1"/>
    <col min="6" max="6" width="11.57421875" style="60" customWidth="1"/>
    <col min="7" max="7" width="10.00390625" style="60" customWidth="1"/>
    <col min="8" max="8" width="12.7109375" style="60" customWidth="1"/>
    <col min="9" max="9" width="9.140625" style="60" customWidth="1"/>
    <col min="10" max="10" width="1.28515625" style="61" customWidth="1"/>
    <col min="11" max="11" width="10.140625" style="60" customWidth="1"/>
    <col min="12" max="12" width="10.421875" style="60" customWidth="1"/>
    <col min="13" max="13" width="9.28125" style="60" customWidth="1"/>
    <col min="14" max="16384" width="9.140625" style="60" customWidth="1"/>
  </cols>
  <sheetData>
    <row r="1" ht="12.75">
      <c r="A1" s="59" t="s">
        <v>0</v>
      </c>
    </row>
    <row r="2" ht="12.75">
      <c r="A2" s="59" t="s">
        <v>1</v>
      </c>
    </row>
    <row r="3" ht="12.75">
      <c r="A3" s="59"/>
    </row>
    <row r="5" ht="12.75">
      <c r="A5" s="62" t="s">
        <v>105</v>
      </c>
    </row>
    <row r="8" spans="1:2" ht="12.75">
      <c r="A8" s="62" t="s">
        <v>106</v>
      </c>
      <c r="B8" s="63" t="s">
        <v>107</v>
      </c>
    </row>
    <row r="12" ht="12.75">
      <c r="K12" s="61"/>
    </row>
    <row r="25" spans="1:2" ht="12.75">
      <c r="A25" s="62" t="s">
        <v>108</v>
      </c>
      <c r="B25" s="63" t="s">
        <v>109</v>
      </c>
    </row>
    <row r="26" ht="12.75">
      <c r="B26" s="63"/>
    </row>
    <row r="31" spans="1:2" ht="12.75">
      <c r="A31" s="62" t="s">
        <v>110</v>
      </c>
      <c r="B31" s="63" t="s">
        <v>111</v>
      </c>
    </row>
    <row r="32" ht="12.75">
      <c r="B32" s="63"/>
    </row>
    <row r="33" ht="12.75">
      <c r="B33" s="60" t="s">
        <v>112</v>
      </c>
    </row>
    <row r="36" spans="1:2" ht="12.75">
      <c r="A36" s="62" t="s">
        <v>113</v>
      </c>
      <c r="B36" s="63" t="s">
        <v>114</v>
      </c>
    </row>
    <row r="43" spans="1:2" ht="12.75">
      <c r="A43" s="62" t="s">
        <v>115</v>
      </c>
      <c r="B43" s="63" t="s">
        <v>116</v>
      </c>
    </row>
    <row r="45" ht="12.75">
      <c r="B45" s="60" t="s">
        <v>117</v>
      </c>
    </row>
    <row r="48" spans="1:2" ht="12.75">
      <c r="A48" s="62" t="s">
        <v>118</v>
      </c>
      <c r="B48" s="63" t="s">
        <v>119</v>
      </c>
    </row>
    <row r="55" spans="1:2" ht="12.75">
      <c r="A55" s="62" t="s">
        <v>120</v>
      </c>
      <c r="B55" s="63" t="s">
        <v>121</v>
      </c>
    </row>
    <row r="56" ht="11.25" customHeight="1"/>
    <row r="60" spans="1:8" ht="12.75">
      <c r="A60" s="62" t="s">
        <v>122</v>
      </c>
      <c r="B60" s="63" t="s">
        <v>123</v>
      </c>
      <c r="H60" s="61"/>
    </row>
    <row r="61" ht="12.75">
      <c r="A61" s="60"/>
    </row>
    <row r="62" spans="2:9" ht="12.75">
      <c r="B62" s="64"/>
      <c r="D62" s="65"/>
      <c r="E62" s="65"/>
      <c r="F62" s="65"/>
      <c r="G62" s="65"/>
      <c r="H62" s="106" t="s">
        <v>124</v>
      </c>
      <c r="I62" s="106"/>
    </row>
    <row r="63" spans="2:9" ht="12.75">
      <c r="B63" s="64"/>
      <c r="D63" s="65"/>
      <c r="E63" s="65"/>
      <c r="F63" s="107" t="s">
        <v>16</v>
      </c>
      <c r="G63" s="107"/>
      <c r="H63" s="107" t="s">
        <v>125</v>
      </c>
      <c r="I63" s="107"/>
    </row>
    <row r="64" spans="2:9" ht="12.75">
      <c r="B64" s="68"/>
      <c r="C64" s="61"/>
      <c r="D64" s="69"/>
      <c r="E64" s="69"/>
      <c r="F64" s="67"/>
      <c r="G64" s="66"/>
      <c r="H64" s="66"/>
      <c r="I64" s="66"/>
    </row>
    <row r="65" spans="2:9" ht="12.75">
      <c r="B65" s="68"/>
      <c r="C65" s="61"/>
      <c r="D65" s="69"/>
      <c r="E65" s="69"/>
      <c r="F65" s="67"/>
      <c r="G65" s="66"/>
      <c r="H65" s="66"/>
      <c r="I65" s="66"/>
    </row>
    <row r="66" spans="2:9" ht="12.75">
      <c r="B66" s="68"/>
      <c r="C66" s="61"/>
      <c r="D66" s="69"/>
      <c r="E66" s="69"/>
      <c r="F66" s="67"/>
      <c r="G66" s="66"/>
      <c r="H66" s="66"/>
      <c r="I66" s="66"/>
    </row>
    <row r="67" spans="2:9" ht="12.75" customHeight="1">
      <c r="B67" s="68"/>
      <c r="C67" s="61"/>
      <c r="D67" s="69"/>
      <c r="E67" s="108" t="s">
        <v>126</v>
      </c>
      <c r="F67" s="108"/>
      <c r="G67" s="108" t="s">
        <v>127</v>
      </c>
      <c r="H67" s="108"/>
      <c r="I67" s="66"/>
    </row>
    <row r="68" spans="2:9" ht="25.5">
      <c r="B68" s="105" t="s">
        <v>128</v>
      </c>
      <c r="C68" s="105"/>
      <c r="D68" s="105"/>
      <c r="E68" s="70" t="s">
        <v>16</v>
      </c>
      <c r="F68" s="71" t="s">
        <v>129</v>
      </c>
      <c r="G68" s="70" t="s">
        <v>16</v>
      </c>
      <c r="H68" s="71" t="s">
        <v>129</v>
      </c>
      <c r="I68" s="66"/>
    </row>
    <row r="69" spans="2:9" ht="12.75">
      <c r="B69" s="68"/>
      <c r="C69" s="61"/>
      <c r="D69" s="69"/>
      <c r="E69" s="72" t="s">
        <v>130</v>
      </c>
      <c r="F69" s="72" t="s">
        <v>130</v>
      </c>
      <c r="G69" s="72" t="s">
        <v>130</v>
      </c>
      <c r="H69" s="72" t="s">
        <v>130</v>
      </c>
      <c r="I69" s="66"/>
    </row>
    <row r="70" spans="2:13" ht="12.75">
      <c r="B70" s="68" t="s">
        <v>131</v>
      </c>
      <c r="C70" s="61"/>
      <c r="D70" s="69"/>
      <c r="E70" s="73">
        <f>'[1]IS'!B16-E71-E72-E73</f>
        <v>39830.1094</v>
      </c>
      <c r="F70" s="73">
        <f>'[1]IS'!B30-F71-F72-F73</f>
        <v>3435.3606000000054</v>
      </c>
      <c r="G70" s="73">
        <f>29166.3-1</f>
        <v>29165.3</v>
      </c>
      <c r="H70" s="73">
        <f>3613.55486+1</f>
        <v>3614.55486</v>
      </c>
      <c r="I70" s="66"/>
      <c r="L70" s="74"/>
      <c r="M70" s="74"/>
    </row>
    <row r="71" spans="2:13" ht="12.75">
      <c r="B71" s="68" t="s">
        <v>132</v>
      </c>
      <c r="C71" s="61"/>
      <c r="D71" s="69"/>
      <c r="E71" s="73">
        <f>'[1]Det P_L'!B79/1000+'[1]Det P_L'!C79/1000</f>
        <v>380.856</v>
      </c>
      <c r="F71" s="75">
        <f>SUM('[1]Det P_L'!B89:C89)/1000</f>
        <v>24.329</v>
      </c>
      <c r="G71" s="73">
        <v>736.8488100000001</v>
      </c>
      <c r="H71" s="73">
        <v>24.670330000000018</v>
      </c>
      <c r="I71" s="66"/>
      <c r="L71" s="74"/>
      <c r="M71" s="74"/>
    </row>
    <row r="72" spans="2:13" ht="12.75">
      <c r="B72" s="68" t="s">
        <v>133</v>
      </c>
      <c r="C72" s="61"/>
      <c r="D72" s="69"/>
      <c r="E72" s="73">
        <f>'[1]W1_P_L Conso'!E15/1000-'[1]W1_P_L Conso'!M47/1000</f>
        <v>144</v>
      </c>
      <c r="F72" s="75">
        <f>'[1]W1_P_L Conso'!E29/1000</f>
        <v>-61.40905</v>
      </c>
      <c r="G72" s="73">
        <v>189.36</v>
      </c>
      <c r="H72" s="73">
        <v>26.21955</v>
      </c>
      <c r="I72" s="66"/>
      <c r="L72" s="74"/>
      <c r="M72" s="74"/>
    </row>
    <row r="73" spans="2:13" ht="13.5" thickBot="1">
      <c r="B73" s="68" t="s">
        <v>134</v>
      </c>
      <c r="C73" s="61"/>
      <c r="D73" s="69"/>
      <c r="E73" s="76">
        <f>'[1]W1_P_L Conso'!D15/1000</f>
        <v>13.3941</v>
      </c>
      <c r="F73" s="77">
        <f>'[1]W1_P_L Conso'!D33/1000</f>
        <v>-11.22399</v>
      </c>
      <c r="G73" s="76">
        <v>0</v>
      </c>
      <c r="H73" s="76">
        <v>-3.3345</v>
      </c>
      <c r="I73" s="66"/>
      <c r="L73" s="74"/>
      <c r="M73" s="74"/>
    </row>
    <row r="74" spans="2:13" ht="12.75">
      <c r="B74" s="68"/>
      <c r="C74" s="61"/>
      <c r="D74" s="69"/>
      <c r="E74" s="73">
        <f>SUM(E70:E73)</f>
        <v>40368.3595</v>
      </c>
      <c r="F74" s="73">
        <f>SUM(F70:F73)</f>
        <v>3387.0565600000054</v>
      </c>
      <c r="G74" s="73">
        <f>SUM(G70:G73)</f>
        <v>30091.50881</v>
      </c>
      <c r="H74" s="73">
        <f>SUM(H70:H73)</f>
        <v>3662.11024</v>
      </c>
      <c r="I74" s="66"/>
      <c r="L74" s="74"/>
      <c r="M74" s="74"/>
    </row>
    <row r="75" spans="2:13" ht="12.75">
      <c r="B75" s="78" t="s">
        <v>135</v>
      </c>
      <c r="C75" s="61"/>
      <c r="D75" s="69"/>
      <c r="E75" s="73"/>
      <c r="F75" s="75"/>
      <c r="G75" s="73"/>
      <c r="H75" s="73"/>
      <c r="I75" s="66"/>
      <c r="L75" s="74"/>
      <c r="M75" s="74"/>
    </row>
    <row r="76" spans="2:13" ht="12.75">
      <c r="B76" s="68" t="s">
        <v>136</v>
      </c>
      <c r="C76" s="61"/>
      <c r="D76" s="69"/>
      <c r="E76" s="73">
        <f>'[1]W1_P_L Conso'!M44/1000</f>
        <v>144</v>
      </c>
      <c r="F76" s="75"/>
      <c r="G76" s="73">
        <v>144</v>
      </c>
      <c r="H76" s="73"/>
      <c r="I76" s="66"/>
      <c r="L76" s="74"/>
      <c r="M76" s="74"/>
    </row>
    <row r="77" spans="2:13" ht="12.75">
      <c r="B77" s="68" t="s">
        <v>131</v>
      </c>
      <c r="C77" s="61"/>
      <c r="D77" s="69"/>
      <c r="E77" s="73">
        <f>'[1]W1_P_L Conso'!M42/1000+'[1]W1_P_L Conso'!M43/1000</f>
        <v>3840.8545999999997</v>
      </c>
      <c r="F77" s="75"/>
      <c r="G77" s="73">
        <v>1528.8439</v>
      </c>
      <c r="H77" s="73"/>
      <c r="I77" s="66"/>
      <c r="L77" s="74"/>
      <c r="M77" s="74"/>
    </row>
    <row r="78" spans="2:13" ht="13.5" thickBot="1">
      <c r="B78" s="68"/>
      <c r="C78" s="61"/>
      <c r="D78" s="69"/>
      <c r="E78" s="79">
        <f>SUM(E74:E77)</f>
        <v>44353.2141</v>
      </c>
      <c r="F78" s="61"/>
      <c r="G78" s="79">
        <f>SUM(G74:G77)</f>
        <v>31764.35271</v>
      </c>
      <c r="H78" s="61"/>
      <c r="I78" s="66"/>
      <c r="L78" s="74"/>
      <c r="M78" s="74"/>
    </row>
    <row r="79" spans="2:9" ht="12.75">
      <c r="B79" s="68"/>
      <c r="C79" s="61"/>
      <c r="D79" s="69"/>
      <c r="E79" s="73"/>
      <c r="F79" s="75"/>
      <c r="G79" s="73"/>
      <c r="H79" s="73"/>
      <c r="I79" s="66"/>
    </row>
    <row r="80" spans="2:9" ht="12.75">
      <c r="B80" s="64"/>
      <c r="D80" s="65"/>
      <c r="E80" s="65"/>
      <c r="F80" s="65"/>
      <c r="G80" s="65"/>
      <c r="H80" s="106"/>
      <c r="I80" s="106"/>
    </row>
    <row r="81" spans="2:9" ht="12.75">
      <c r="B81" s="64"/>
      <c r="D81" s="65"/>
      <c r="E81" s="65"/>
      <c r="F81" s="107"/>
      <c r="G81" s="107"/>
      <c r="H81" s="107"/>
      <c r="I81" s="107"/>
    </row>
    <row r="82" spans="2:9" ht="12.75">
      <c r="B82" s="68"/>
      <c r="C82" s="61"/>
      <c r="D82" s="69"/>
      <c r="E82" s="69"/>
      <c r="F82" s="67"/>
      <c r="G82" s="66"/>
      <c r="H82" s="66"/>
      <c r="I82" s="66"/>
    </row>
    <row r="83" spans="2:9" ht="12.75">
      <c r="B83" s="68"/>
      <c r="C83" s="61"/>
      <c r="D83" s="69"/>
      <c r="E83" s="69"/>
      <c r="F83" s="67"/>
      <c r="G83" s="66"/>
      <c r="H83" s="66"/>
      <c r="I83" s="66"/>
    </row>
    <row r="84" spans="2:9" ht="12.75">
      <c r="B84" s="68"/>
      <c r="C84" s="61"/>
      <c r="D84" s="69"/>
      <c r="E84" s="69"/>
      <c r="F84" s="67"/>
      <c r="G84" s="66"/>
      <c r="H84" s="66"/>
      <c r="I84" s="66"/>
    </row>
    <row r="85" spans="2:9" ht="12.75">
      <c r="B85" s="68"/>
      <c r="C85" s="61"/>
      <c r="D85" s="69"/>
      <c r="E85" s="69"/>
      <c r="F85" s="67"/>
      <c r="G85" s="66"/>
      <c r="H85" s="66"/>
      <c r="I85" s="66"/>
    </row>
    <row r="86" spans="2:9" ht="12.75">
      <c r="B86" s="68"/>
      <c r="C86" s="61"/>
      <c r="D86" s="69"/>
      <c r="E86" s="69"/>
      <c r="F86" s="67"/>
      <c r="G86" s="66"/>
      <c r="H86" s="66"/>
      <c r="I86" s="66"/>
    </row>
    <row r="87" spans="2:9" ht="12.75">
      <c r="B87" s="68"/>
      <c r="C87" s="61"/>
      <c r="D87" s="69"/>
      <c r="E87" s="69"/>
      <c r="F87" s="67"/>
      <c r="G87" s="66"/>
      <c r="H87" s="66"/>
      <c r="I87" s="66"/>
    </row>
    <row r="88" spans="2:9" ht="12.75">
      <c r="B88" s="68"/>
      <c r="C88" s="61"/>
      <c r="D88" s="69"/>
      <c r="E88" s="69"/>
      <c r="F88" s="67"/>
      <c r="G88" s="66"/>
      <c r="H88" s="66"/>
      <c r="I88" s="66"/>
    </row>
    <row r="89" spans="2:8" ht="12.75">
      <c r="B89" s="68"/>
      <c r="G89" s="72" t="s">
        <v>137</v>
      </c>
      <c r="H89" s="72" t="s">
        <v>8</v>
      </c>
    </row>
    <row r="90" spans="2:8" ht="12.75">
      <c r="B90" s="68"/>
      <c r="G90" s="72" t="s">
        <v>10</v>
      </c>
      <c r="H90" s="72" t="s">
        <v>11</v>
      </c>
    </row>
    <row r="91" spans="2:14" ht="12.75">
      <c r="B91" s="68"/>
      <c r="G91" s="72" t="s">
        <v>13</v>
      </c>
      <c r="H91" s="72" t="s">
        <v>13</v>
      </c>
      <c r="L91" s="80"/>
      <c r="M91" s="80"/>
      <c r="N91" s="81"/>
    </row>
    <row r="92" spans="2:14" ht="12.75">
      <c r="B92" s="68"/>
      <c r="F92" s="82"/>
      <c r="G92" s="72" t="s">
        <v>138</v>
      </c>
      <c r="H92" s="72" t="s">
        <v>138</v>
      </c>
      <c r="L92" s="80"/>
      <c r="M92" s="80"/>
      <c r="N92" s="81"/>
    </row>
    <row r="93" spans="2:14" ht="12.75">
      <c r="B93" s="68" t="s">
        <v>139</v>
      </c>
      <c r="F93" s="82"/>
      <c r="G93" s="83">
        <f>'[1]Det P_L'!B225+'[1]W1_P_L Conso'!D15/1000+'[1]W1_P_L Conso'!E15/1000</f>
        <v>17159.084320000005</v>
      </c>
      <c r="H93" s="83">
        <f aca="true" t="shared" si="0" ref="H93:H98">G93</f>
        <v>17159.084320000005</v>
      </c>
      <c r="K93" s="82"/>
      <c r="L93" s="80"/>
      <c r="M93" s="80"/>
      <c r="N93" s="81"/>
    </row>
    <row r="94" spans="2:14" ht="12.75">
      <c r="B94" s="68" t="s">
        <v>140</v>
      </c>
      <c r="F94" s="82"/>
      <c r="G94" s="83">
        <f>'[1]Det P_L'!B226</f>
        <v>10077.53368</v>
      </c>
      <c r="H94" s="83">
        <f t="shared" si="0"/>
        <v>10077.53368</v>
      </c>
      <c r="K94" s="82"/>
      <c r="L94" s="80"/>
      <c r="M94" s="80"/>
      <c r="N94" s="81"/>
    </row>
    <row r="95" spans="2:14" ht="12.75">
      <c r="B95" s="68" t="s">
        <v>141</v>
      </c>
      <c r="F95" s="82"/>
      <c r="G95" s="83">
        <f>'[1]Det P_L'!B227</f>
        <v>6720.72888</v>
      </c>
      <c r="H95" s="83">
        <f t="shared" si="0"/>
        <v>6720.72888</v>
      </c>
      <c r="K95" s="82"/>
      <c r="L95" s="80"/>
      <c r="M95" s="80"/>
      <c r="N95" s="81"/>
    </row>
    <row r="96" spans="2:14" ht="12.75">
      <c r="B96" s="68" t="s">
        <v>142</v>
      </c>
      <c r="F96" s="82"/>
      <c r="G96" s="83">
        <f>'[1]Det P_L'!B228</f>
        <v>2680.26699</v>
      </c>
      <c r="H96" s="83">
        <f t="shared" si="0"/>
        <v>2680.26699</v>
      </c>
      <c r="K96" s="82"/>
      <c r="L96" s="80"/>
      <c r="M96" s="80"/>
      <c r="N96" s="81"/>
    </row>
    <row r="97" spans="2:14" ht="12.75">
      <c r="B97" s="68" t="s">
        <v>143</v>
      </c>
      <c r="F97" s="82"/>
      <c r="G97" s="83">
        <f>'[1]Det P_L'!B229</f>
        <v>2722.9235</v>
      </c>
      <c r="H97" s="83">
        <f t="shared" si="0"/>
        <v>2722.9235</v>
      </c>
      <c r="K97" s="82"/>
      <c r="L97" s="80"/>
      <c r="M97" s="80"/>
      <c r="N97" s="84"/>
    </row>
    <row r="98" spans="2:14" ht="12.75">
      <c r="B98" s="68" t="s">
        <v>144</v>
      </c>
      <c r="F98" s="82"/>
      <c r="G98" s="83">
        <f>'[1]Det P_L'!B230</f>
        <v>1007.82213</v>
      </c>
      <c r="H98" s="83">
        <f t="shared" si="0"/>
        <v>1007.82213</v>
      </c>
      <c r="K98" s="82"/>
      <c r="L98" s="80"/>
      <c r="M98" s="80"/>
      <c r="N98" s="81"/>
    </row>
    <row r="99" spans="2:14" ht="13.5" thickBot="1">
      <c r="B99" s="68"/>
      <c r="F99" s="73"/>
      <c r="G99" s="85">
        <f>SUM(G93:G98)</f>
        <v>40368.3595</v>
      </c>
      <c r="H99" s="85">
        <f>SUM(H93:H98)</f>
        <v>40368.3595</v>
      </c>
      <c r="K99" s="86"/>
      <c r="L99" s="80"/>
      <c r="M99" s="80"/>
      <c r="N99" s="87"/>
    </row>
    <row r="100" spans="2:8" ht="13.5" thickTop="1">
      <c r="B100" s="68"/>
      <c r="C100" s="61"/>
      <c r="D100" s="66"/>
      <c r="E100" s="66"/>
      <c r="F100" s="73"/>
      <c r="G100" s="88"/>
      <c r="H100" s="88"/>
    </row>
    <row r="101" spans="2:8" ht="12.75">
      <c r="B101" s="68"/>
      <c r="C101" s="61"/>
      <c r="D101" s="66"/>
      <c r="E101" s="66"/>
      <c r="F101" s="73"/>
      <c r="G101" s="66"/>
      <c r="H101" s="66"/>
    </row>
    <row r="102" spans="1:7" ht="12.75">
      <c r="A102" s="62" t="s">
        <v>145</v>
      </c>
      <c r="B102" s="63" t="s">
        <v>146</v>
      </c>
      <c r="G102" s="89"/>
    </row>
    <row r="109" spans="1:4" ht="12.75">
      <c r="A109" s="62" t="s">
        <v>147</v>
      </c>
      <c r="B109" s="63" t="s">
        <v>148</v>
      </c>
      <c r="D109" s="60" t="s">
        <v>149</v>
      </c>
    </row>
    <row r="116" spans="1:2" ht="12.75">
      <c r="A116" s="62" t="s">
        <v>150</v>
      </c>
      <c r="B116" s="63" t="s">
        <v>151</v>
      </c>
    </row>
    <row r="121" spans="1:2" ht="12.75">
      <c r="A121" s="62" t="s">
        <v>152</v>
      </c>
      <c r="B121" s="63" t="s">
        <v>153</v>
      </c>
    </row>
    <row r="122" ht="12.75">
      <c r="B122" s="63"/>
    </row>
    <row r="128" spans="1:2" ht="12.75">
      <c r="A128" s="62" t="s">
        <v>154</v>
      </c>
      <c r="B128" s="63" t="s">
        <v>155</v>
      </c>
    </row>
    <row r="130" ht="12.75">
      <c r="B130" s="60" t="s">
        <v>156</v>
      </c>
    </row>
    <row r="131" ht="12.75">
      <c r="H131" s="72" t="s">
        <v>157</v>
      </c>
    </row>
    <row r="132" spans="7:8" ht="12.75">
      <c r="G132" s="72"/>
      <c r="H132" s="72" t="s">
        <v>13</v>
      </c>
    </row>
    <row r="133" ht="12.75">
      <c r="H133" s="72" t="s">
        <v>15</v>
      </c>
    </row>
    <row r="134" spans="2:8" ht="12.75">
      <c r="B134" s="60" t="s">
        <v>158</v>
      </c>
      <c r="H134" s="90">
        <v>472</v>
      </c>
    </row>
    <row r="135" spans="2:8" ht="12.75">
      <c r="B135" s="60" t="s">
        <v>159</v>
      </c>
      <c r="H135" s="90">
        <v>0</v>
      </c>
    </row>
    <row r="136" ht="13.5" thickBot="1">
      <c r="H136" s="85">
        <f>H134+H135</f>
        <v>472</v>
      </c>
    </row>
    <row r="137" ht="13.5" thickTop="1"/>
    <row r="139" ht="12.75">
      <c r="A139" s="62" t="s">
        <v>160</v>
      </c>
    </row>
    <row r="141" spans="1:2" ht="12.75">
      <c r="A141" s="62" t="s">
        <v>161</v>
      </c>
      <c r="B141" s="63" t="s">
        <v>162</v>
      </c>
    </row>
    <row r="153" ht="12.75">
      <c r="B153" s="63"/>
    </row>
    <row r="154" ht="12.75">
      <c r="B154" s="63"/>
    </row>
    <row r="155" ht="12.75">
      <c r="B155" s="63"/>
    </row>
    <row r="156" ht="12.75">
      <c r="B156" s="63"/>
    </row>
    <row r="157" spans="1:2" ht="12.75">
      <c r="A157" s="62" t="s">
        <v>163</v>
      </c>
      <c r="B157" s="63" t="s">
        <v>164</v>
      </c>
    </row>
    <row r="165" spans="1:2" ht="12.75">
      <c r="A165" s="62" t="s">
        <v>165</v>
      </c>
      <c r="B165" s="63" t="s">
        <v>166</v>
      </c>
    </row>
    <row r="177" spans="1:2" ht="12.75">
      <c r="A177" s="62" t="s">
        <v>167</v>
      </c>
      <c r="B177" s="63" t="s">
        <v>24</v>
      </c>
    </row>
    <row r="178" spans="6:8" ht="12.75">
      <c r="F178" s="72" t="s">
        <v>137</v>
      </c>
      <c r="H178" s="72" t="s">
        <v>8</v>
      </c>
    </row>
    <row r="179" spans="6:8" ht="12.75">
      <c r="F179" s="72" t="s">
        <v>10</v>
      </c>
      <c r="H179" s="72" t="s">
        <v>11</v>
      </c>
    </row>
    <row r="180" spans="6:8" ht="12.75">
      <c r="F180" s="72" t="s">
        <v>13</v>
      </c>
      <c r="H180" s="72" t="s">
        <v>13</v>
      </c>
    </row>
    <row r="181" spans="6:8" ht="12.75">
      <c r="F181" s="72" t="s">
        <v>15</v>
      </c>
      <c r="H181" s="72" t="s">
        <v>15</v>
      </c>
    </row>
    <row r="182" ht="12.75">
      <c r="B182" s="91" t="s">
        <v>168</v>
      </c>
    </row>
    <row r="183" ht="13.5">
      <c r="B183" s="92" t="s">
        <v>169</v>
      </c>
    </row>
    <row r="184" spans="6:8" ht="12.75" customHeight="1" hidden="1">
      <c r="F184" s="90"/>
      <c r="G184" s="90"/>
      <c r="H184" s="90"/>
    </row>
    <row r="185" spans="2:13" ht="12.75">
      <c r="B185" s="60" t="s">
        <v>170</v>
      </c>
      <c r="F185" s="90">
        <f>-(+'[1]Det P_L'!C208/1000-'[1]Det P_L'!F208/1000+'[1]Det P_L'!B208/1000-'[1]Det P_L'!E208/1000+'[1]DPSR_P_L_BS'!D66/1000-'[1]DPSR_P_L_BS'!E66/1000-'[1]DPSP _P_L_BS'!D58/1000)</f>
        <v>261</v>
      </c>
      <c r="G185" s="90"/>
      <c r="H185" s="90">
        <f>-'[1]Det P_L'!C208/1000-'[1]Det P_L'!B208/1000-'[1]DPSR_P_L_BS'!D66/1000</f>
        <v>261</v>
      </c>
      <c r="K185" s="90"/>
      <c r="L185" s="90"/>
      <c r="M185" s="90"/>
    </row>
    <row r="186" spans="2:13" ht="12.75">
      <c r="B186" s="60" t="s">
        <v>171</v>
      </c>
      <c r="F186" s="90">
        <f>(-(SUM('[1]Det P_L'!B210+'[1]Det P_L'!C210)-SUM('[1]Det P_L'!E210+'[1]Det P_L'!F210)))/1000</f>
        <v>0</v>
      </c>
      <c r="G186" s="90"/>
      <c r="H186" s="90">
        <f>-SUM('[1]Det P_L'!C210+'[1]Det P_L'!B210)/1000</f>
        <v>0</v>
      </c>
      <c r="K186" s="93"/>
      <c r="M186" s="90"/>
    </row>
    <row r="187" spans="6:8" ht="13.5" thickBot="1">
      <c r="F187" s="94">
        <f>SUM(F185:F186)</f>
        <v>261</v>
      </c>
      <c r="G187" s="90"/>
      <c r="H187" s="94">
        <f>SUM(H185:H186)</f>
        <v>261</v>
      </c>
    </row>
    <row r="188" ht="13.5" thickTop="1"/>
    <row r="195" spans="1:2" ht="12.75">
      <c r="A195" s="62" t="s">
        <v>172</v>
      </c>
      <c r="B195" s="63" t="s">
        <v>173</v>
      </c>
    </row>
    <row r="202" spans="1:2" ht="12.75">
      <c r="A202" s="62" t="s">
        <v>174</v>
      </c>
      <c r="B202" s="63" t="s">
        <v>175</v>
      </c>
    </row>
    <row r="209" spans="1:2" ht="12.75">
      <c r="A209" s="62" t="s">
        <v>176</v>
      </c>
      <c r="B209" s="63" t="s">
        <v>177</v>
      </c>
    </row>
    <row r="212" ht="12.75">
      <c r="H212" s="93"/>
    </row>
    <row r="213" ht="12.75">
      <c r="H213" s="93"/>
    </row>
    <row r="214" ht="12.75">
      <c r="H214" s="93"/>
    </row>
    <row r="215" ht="12.75">
      <c r="H215" s="93"/>
    </row>
    <row r="216" ht="12.75">
      <c r="H216" s="93"/>
    </row>
    <row r="217" ht="12.75">
      <c r="H217" s="93"/>
    </row>
    <row r="218" ht="12.75">
      <c r="H218" s="93"/>
    </row>
    <row r="219" ht="12.75">
      <c r="H219" s="93"/>
    </row>
    <row r="220" ht="12.75">
      <c r="H220" s="93"/>
    </row>
    <row r="221" ht="12.75">
      <c r="H221" s="93"/>
    </row>
    <row r="222" ht="12.75">
      <c r="H222" s="93"/>
    </row>
    <row r="223" ht="12.75">
      <c r="H223" s="93"/>
    </row>
    <row r="224" ht="12.75">
      <c r="H224" s="93"/>
    </row>
    <row r="225" ht="12.75">
      <c r="H225" s="93"/>
    </row>
    <row r="226" ht="12.75">
      <c r="H226" s="93"/>
    </row>
    <row r="227" ht="12.75">
      <c r="H227" s="93"/>
    </row>
    <row r="228" ht="12.75">
      <c r="H228" s="93"/>
    </row>
    <row r="229" ht="12.75">
      <c r="H229" s="93"/>
    </row>
    <row r="230" ht="12.75">
      <c r="H230" s="93"/>
    </row>
    <row r="231" ht="12.75">
      <c r="H231" s="93"/>
    </row>
    <row r="232" ht="12.75">
      <c r="H232" s="93"/>
    </row>
    <row r="233" ht="12.75">
      <c r="H233" s="93"/>
    </row>
    <row r="234" ht="12.75">
      <c r="H234" s="93"/>
    </row>
    <row r="235" ht="12.75">
      <c r="H235" s="93"/>
    </row>
    <row r="236" ht="12.75">
      <c r="H236" s="93"/>
    </row>
    <row r="237" ht="12.75">
      <c r="H237" s="93"/>
    </row>
    <row r="238" ht="12.75">
      <c r="H238" s="93"/>
    </row>
    <row r="239" ht="12.75">
      <c r="H239" s="93"/>
    </row>
    <row r="240" ht="12.75">
      <c r="H240" s="93"/>
    </row>
    <row r="241" ht="12.75">
      <c r="H241" s="93"/>
    </row>
    <row r="242" ht="12.75">
      <c r="H242" s="93"/>
    </row>
    <row r="243" ht="12.75">
      <c r="H243" s="93"/>
    </row>
    <row r="244" ht="12.75">
      <c r="H244" s="93"/>
    </row>
    <row r="245" ht="12.75">
      <c r="H245" s="93"/>
    </row>
    <row r="246" ht="12.75">
      <c r="H246" s="93"/>
    </row>
    <row r="247" ht="12.75">
      <c r="H247" s="93"/>
    </row>
    <row r="248" ht="12.75">
      <c r="H248" s="93"/>
    </row>
    <row r="249" spans="1:2" ht="12.75">
      <c r="A249" s="62" t="s">
        <v>178</v>
      </c>
      <c r="B249" s="63" t="s">
        <v>179</v>
      </c>
    </row>
    <row r="250" ht="12.75">
      <c r="B250" s="60" t="s">
        <v>180</v>
      </c>
    </row>
    <row r="251" spans="2:8" ht="12.75">
      <c r="B251" s="63"/>
      <c r="F251" s="72"/>
      <c r="G251" s="72"/>
      <c r="H251" s="72" t="s">
        <v>181</v>
      </c>
    </row>
    <row r="252" spans="6:8" ht="12.75">
      <c r="F252" s="72"/>
      <c r="G252" s="72"/>
      <c r="H252" s="72" t="s">
        <v>13</v>
      </c>
    </row>
    <row r="253" spans="5:8" ht="12.75">
      <c r="E253" s="72"/>
      <c r="F253" s="72" t="s">
        <v>182</v>
      </c>
      <c r="G253" s="72" t="s">
        <v>183</v>
      </c>
      <c r="H253" s="72" t="s">
        <v>82</v>
      </c>
    </row>
    <row r="254" spans="6:8" ht="12.75">
      <c r="F254" s="72" t="s">
        <v>15</v>
      </c>
      <c r="G254" s="72" t="s">
        <v>15</v>
      </c>
      <c r="H254" s="72" t="s">
        <v>15</v>
      </c>
    </row>
    <row r="256" spans="2:8" ht="12.75">
      <c r="B256" s="60" t="s">
        <v>53</v>
      </c>
      <c r="E256" s="90"/>
      <c r="F256" s="90">
        <f>'[1]BS'!B28</f>
        <v>34632.53079</v>
      </c>
      <c r="G256" s="90">
        <v>0</v>
      </c>
      <c r="H256" s="90">
        <f>SUM(F256:G256)</f>
        <v>34632.53079</v>
      </c>
    </row>
    <row r="257" spans="2:8" ht="12.75">
      <c r="B257" s="60" t="s">
        <v>184</v>
      </c>
      <c r="E257" s="90"/>
      <c r="F257" s="90">
        <f>'[1]BS'!B42</f>
        <v>21690.79775</v>
      </c>
      <c r="G257" s="90">
        <v>0</v>
      </c>
      <c r="H257" s="90">
        <f>SUM(F257:G257)</f>
        <v>21690.79775</v>
      </c>
    </row>
    <row r="258" spans="2:8" ht="13.5" thickBot="1">
      <c r="B258" s="60" t="s">
        <v>82</v>
      </c>
      <c r="F258" s="85">
        <f>SUM(F256:F257)</f>
        <v>56323.32854</v>
      </c>
      <c r="G258" s="85">
        <f>SUM(G256:G257)</f>
        <v>0</v>
      </c>
      <c r="H258" s="85">
        <f>SUM(H256:H257)</f>
        <v>56323.32854</v>
      </c>
    </row>
    <row r="259" ht="13.5" thickTop="1"/>
    <row r="263" ht="12.75">
      <c r="H263" s="90"/>
    </row>
    <row r="264" spans="1:2" ht="12.75">
      <c r="A264" s="62" t="s">
        <v>185</v>
      </c>
      <c r="B264" s="63" t="s">
        <v>186</v>
      </c>
    </row>
    <row r="265" ht="12.75">
      <c r="B265" s="63"/>
    </row>
    <row r="266" ht="12.75">
      <c r="B266" s="63"/>
    </row>
    <row r="267" ht="12.75">
      <c r="B267" s="63"/>
    </row>
    <row r="270" spans="1:8" ht="12.75">
      <c r="A270" s="62" t="s">
        <v>187</v>
      </c>
      <c r="B270" s="63" t="s">
        <v>188</v>
      </c>
      <c r="H270" s="72"/>
    </row>
    <row r="276" spans="1:2" ht="12.75">
      <c r="A276" s="62" t="s">
        <v>189</v>
      </c>
      <c r="B276" s="63" t="s">
        <v>190</v>
      </c>
    </row>
    <row r="277" spans="6:8" ht="12.75">
      <c r="F277" s="95"/>
      <c r="G277" s="90"/>
      <c r="H277" s="95"/>
    </row>
    <row r="278" spans="6:8" ht="12.75">
      <c r="F278" s="96"/>
      <c r="G278" s="90"/>
      <c r="H278" s="96"/>
    </row>
    <row r="279" spans="6:8" ht="12.75">
      <c r="F279" s="96"/>
      <c r="G279" s="90"/>
      <c r="H279" s="96"/>
    </row>
    <row r="280" spans="6:8" ht="12.75">
      <c r="F280" s="96"/>
      <c r="G280" s="90"/>
      <c r="H280" s="96"/>
    </row>
    <row r="281" spans="6:8" ht="12.75">
      <c r="F281" s="96"/>
      <c r="G281" s="90"/>
      <c r="H281" s="96"/>
    </row>
    <row r="282" spans="6:8" ht="12.75">
      <c r="F282" s="96"/>
      <c r="G282" s="90"/>
      <c r="H282" s="96"/>
    </row>
    <row r="283" spans="6:8" ht="12.75">
      <c r="F283" s="96"/>
      <c r="G283" s="90"/>
      <c r="H283" s="96"/>
    </row>
    <row r="284" spans="1:2" ht="12.75">
      <c r="A284" s="62" t="s">
        <v>191</v>
      </c>
      <c r="B284" s="63" t="s">
        <v>192</v>
      </c>
    </row>
    <row r="285" ht="12.75">
      <c r="B285" s="63"/>
    </row>
    <row r="286" ht="12.75">
      <c r="B286" s="60" t="s">
        <v>193</v>
      </c>
    </row>
    <row r="287" ht="9.75" customHeight="1"/>
    <row r="288" spans="2:10" ht="12.75">
      <c r="B288" s="63"/>
      <c r="F288" s="97" t="s">
        <v>194</v>
      </c>
      <c r="G288" s="97"/>
      <c r="H288" s="97" t="s">
        <v>64</v>
      </c>
      <c r="I288" s="97"/>
      <c r="J288" s="98"/>
    </row>
    <row r="289" spans="2:10" ht="12.75">
      <c r="B289" s="63"/>
      <c r="F289" s="72" t="s">
        <v>8</v>
      </c>
      <c r="G289" s="72"/>
      <c r="H289" s="72" t="s">
        <v>8</v>
      </c>
      <c r="I289" s="97"/>
      <c r="J289" s="98"/>
    </row>
    <row r="290" spans="2:10" ht="12.75">
      <c r="B290" s="63"/>
      <c r="F290" s="97" t="s">
        <v>10</v>
      </c>
      <c r="G290" s="97"/>
      <c r="H290" s="97" t="s">
        <v>11</v>
      </c>
      <c r="I290" s="97"/>
      <c r="J290" s="98"/>
    </row>
    <row r="291" spans="6:8" ht="12.75">
      <c r="F291" s="72" t="s">
        <v>13</v>
      </c>
      <c r="G291" s="72"/>
      <c r="H291" s="72" t="s">
        <v>13</v>
      </c>
    </row>
    <row r="292" spans="2:8" ht="12.75">
      <c r="B292" s="60" t="s">
        <v>195</v>
      </c>
      <c r="F292" s="72"/>
      <c r="H292" s="72"/>
    </row>
    <row r="293" spans="2:8" ht="13.5" thickBot="1">
      <c r="B293" s="60" t="s">
        <v>196</v>
      </c>
      <c r="F293" s="99">
        <f>'[1]IS'!B42</f>
        <v>3126.0565600000054</v>
      </c>
      <c r="G293" s="90"/>
      <c r="H293" s="99">
        <f>'[1]IS'!F42</f>
        <v>3126.057835197903</v>
      </c>
    </row>
    <row r="294" spans="6:8" ht="13.5" thickTop="1">
      <c r="F294" s="72"/>
      <c r="G294" s="90"/>
      <c r="H294" s="95"/>
    </row>
    <row r="295" spans="2:8" ht="12.75">
      <c r="B295" s="60" t="s">
        <v>197</v>
      </c>
      <c r="F295" s="96"/>
      <c r="G295" s="90"/>
      <c r="H295" s="96"/>
    </row>
    <row r="296" spans="2:8" ht="13.5" thickBot="1">
      <c r="B296" s="60" t="s">
        <v>198</v>
      </c>
      <c r="F296" s="99">
        <f>'[1]Weighted Shares'!E39/1000</f>
        <v>245142.85714285716</v>
      </c>
      <c r="G296" s="90"/>
      <c r="H296" s="99">
        <f>'[1]Weighted Shares'!E17/1000</f>
        <v>245142.85714285716</v>
      </c>
    </row>
    <row r="297" spans="6:8" ht="13.5" thickTop="1">
      <c r="F297" s="95"/>
      <c r="G297" s="90"/>
      <c r="H297" s="95"/>
    </row>
    <row r="298" spans="2:8" ht="13.5" thickBot="1">
      <c r="B298" s="60" t="s">
        <v>199</v>
      </c>
      <c r="F298" s="100">
        <f>'[1]Weighted Shares'!E44</f>
        <v>1.2751978974358995</v>
      </c>
      <c r="G298" s="90"/>
      <c r="H298" s="100">
        <f>'[1]Weighted Shares'!E22</f>
        <v>1.2751978974358995</v>
      </c>
    </row>
    <row r="299" spans="6:8" ht="13.5" thickTop="1">
      <c r="F299" s="74"/>
      <c r="G299" s="90"/>
      <c r="H299" s="74"/>
    </row>
    <row r="300" spans="6:8" ht="12.75">
      <c r="F300" s="74"/>
      <c r="G300" s="90"/>
      <c r="H300" s="74"/>
    </row>
    <row r="301" spans="6:8" ht="12.75">
      <c r="F301" s="95"/>
      <c r="G301" s="90"/>
      <c r="H301" s="95"/>
    </row>
    <row r="302" spans="6:8" ht="12.75">
      <c r="F302" s="72"/>
      <c r="H302" s="72"/>
    </row>
    <row r="303" spans="6:8" ht="12.75">
      <c r="F303" s="72"/>
      <c r="H303" s="72"/>
    </row>
    <row r="304" spans="6:8" ht="12.75">
      <c r="F304" s="72"/>
      <c r="H304" s="72"/>
    </row>
    <row r="305" spans="6:8" ht="12.75">
      <c r="F305" s="72"/>
      <c r="H305" s="72"/>
    </row>
    <row r="306" spans="6:8" ht="9" customHeight="1">
      <c r="F306" s="72"/>
      <c r="H306" s="72"/>
    </row>
    <row r="307" spans="6:8" ht="9" customHeight="1">
      <c r="F307" s="72"/>
      <c r="H307" s="72"/>
    </row>
    <row r="308" spans="6:8" ht="9" customHeight="1">
      <c r="F308" s="72"/>
      <c r="H308" s="72"/>
    </row>
    <row r="309" spans="6:8" ht="12.75">
      <c r="F309" s="97" t="s">
        <v>194</v>
      </c>
      <c r="G309" s="97"/>
      <c r="H309" s="97" t="s">
        <v>64</v>
      </c>
    </row>
    <row r="310" spans="6:8" ht="12.75">
      <c r="F310" s="72" t="s">
        <v>8</v>
      </c>
      <c r="G310" s="72"/>
      <c r="H310" s="72" t="s">
        <v>8</v>
      </c>
    </row>
    <row r="311" spans="6:8" ht="12.75">
      <c r="F311" s="97" t="s">
        <v>10</v>
      </c>
      <c r="G311" s="97"/>
      <c r="H311" s="97" t="s">
        <v>11</v>
      </c>
    </row>
    <row r="312" spans="6:8" ht="12.75">
      <c r="F312" s="72" t="s">
        <v>41</v>
      </c>
      <c r="G312" s="72"/>
      <c r="H312" s="72" t="s">
        <v>41</v>
      </c>
    </row>
    <row r="313" spans="2:8" ht="12.75">
      <c r="B313" s="60" t="s">
        <v>197</v>
      </c>
      <c r="F313" s="72"/>
      <c r="G313" s="72"/>
      <c r="H313" s="72"/>
    </row>
    <row r="314" spans="2:8" ht="12.75">
      <c r="B314" s="60" t="s">
        <v>198</v>
      </c>
      <c r="F314" s="101">
        <f>'[1]Weighted Shares'!E39/1000</f>
        <v>245142.85714285716</v>
      </c>
      <c r="G314" s="93"/>
      <c r="H314" s="101">
        <f>'[1]Weighted Shares'!E17/1000</f>
        <v>245142.85714285716</v>
      </c>
    </row>
    <row r="315" spans="2:8" ht="12.75">
      <c r="B315" s="60" t="s">
        <v>200</v>
      </c>
      <c r="F315" s="102">
        <f>'[1]Weighted Shares'!E47/1000</f>
        <v>0</v>
      </c>
      <c r="G315" s="90"/>
      <c r="H315" s="102">
        <f>'[1]Weighted Shares'!E25/1000</f>
        <v>0</v>
      </c>
    </row>
    <row r="316" spans="6:8" ht="12.75">
      <c r="F316" s="101"/>
      <c r="G316" s="90"/>
      <c r="H316" s="101"/>
    </row>
    <row r="317" spans="2:8" ht="12.75">
      <c r="B317" s="60" t="s">
        <v>201</v>
      </c>
      <c r="F317" s="101"/>
      <c r="G317" s="90"/>
      <c r="H317" s="101"/>
    </row>
    <row r="318" spans="2:8" ht="13.5" thickBot="1">
      <c r="B318" s="60" t="s">
        <v>198</v>
      </c>
      <c r="F318" s="99">
        <f>'[1]Weighted Shares'!E49/1000</f>
        <v>245142.85714285716</v>
      </c>
      <c r="G318" s="90"/>
      <c r="H318" s="99">
        <f>'[1]Weighted Shares'!E27/1000</f>
        <v>245142.85714285716</v>
      </c>
    </row>
    <row r="319" spans="6:8" ht="13.5" thickTop="1">
      <c r="F319" s="72"/>
      <c r="H319" s="72"/>
    </row>
    <row r="320" spans="2:8" ht="13.5" thickBot="1">
      <c r="B320" s="60" t="s">
        <v>202</v>
      </c>
      <c r="F320" s="100">
        <f>'[1]Weighted Shares'!E51</f>
        <v>1.2751978974358995</v>
      </c>
      <c r="G320" s="90"/>
      <c r="H320" s="100">
        <f>'[1]Weighted Shares'!E29</f>
        <v>1.2751978974358995</v>
      </c>
    </row>
    <row r="321" spans="6:8" ht="13.5" thickTop="1">
      <c r="F321" s="72"/>
      <c r="H321" s="72"/>
    </row>
    <row r="322" spans="6:8" ht="12.75">
      <c r="F322" s="72"/>
      <c r="H322" s="72"/>
    </row>
    <row r="323" spans="6:8" ht="12.75">
      <c r="F323" s="72"/>
      <c r="H323" s="72"/>
    </row>
    <row r="324" spans="6:8" ht="12.75">
      <c r="F324" s="72"/>
      <c r="H324" s="72"/>
    </row>
    <row r="325" spans="6:8" ht="12.75">
      <c r="F325" s="72"/>
      <c r="H325" s="72"/>
    </row>
    <row r="326" spans="1:8" ht="12.75">
      <c r="A326" s="62" t="s">
        <v>203</v>
      </c>
      <c r="B326" s="63" t="s">
        <v>204</v>
      </c>
      <c r="F326" s="72"/>
      <c r="H326" s="72"/>
    </row>
    <row r="327" spans="6:8" ht="12.75">
      <c r="F327" s="72"/>
      <c r="H327" s="72"/>
    </row>
    <row r="328" spans="6:8" ht="12.75">
      <c r="F328" s="72"/>
      <c r="H328" s="72"/>
    </row>
    <row r="329" spans="6:8" ht="12.75">
      <c r="F329" s="72"/>
      <c r="H329" s="72"/>
    </row>
    <row r="330" spans="6:8" ht="12.75">
      <c r="F330" s="72"/>
      <c r="H330" s="72"/>
    </row>
    <row r="331" spans="6:7" ht="12.75">
      <c r="F331" s="72" t="s">
        <v>205</v>
      </c>
      <c r="G331" s="72"/>
    </row>
    <row r="332" spans="6:8" ht="12.75">
      <c r="F332" s="72" t="s">
        <v>206</v>
      </c>
      <c r="G332" s="72"/>
      <c r="H332" s="72" t="s">
        <v>207</v>
      </c>
    </row>
    <row r="333" spans="6:8" ht="12.75">
      <c r="F333" s="72" t="s">
        <v>208</v>
      </c>
      <c r="G333" s="72"/>
      <c r="H333" s="72" t="s">
        <v>209</v>
      </c>
    </row>
    <row r="334" spans="6:8" ht="12.75">
      <c r="F334" s="72" t="s">
        <v>210</v>
      </c>
      <c r="G334" s="72"/>
      <c r="H334" s="72"/>
    </row>
    <row r="335" spans="6:8" ht="12.75">
      <c r="F335" s="72" t="s">
        <v>15</v>
      </c>
      <c r="G335" s="72"/>
      <c r="H335" s="72" t="s">
        <v>15</v>
      </c>
    </row>
    <row r="336" ht="12.75">
      <c r="G336" s="72"/>
    </row>
    <row r="337" spans="2:8" ht="12.75">
      <c r="B337" s="60" t="s">
        <v>211</v>
      </c>
      <c r="F337" s="90">
        <v>25000</v>
      </c>
      <c r="G337" s="96"/>
      <c r="H337" s="101">
        <v>0</v>
      </c>
    </row>
    <row r="338" spans="2:8" ht="12.75">
      <c r="B338" s="60" t="s">
        <v>212</v>
      </c>
      <c r="F338" s="101">
        <v>15000</v>
      </c>
      <c r="H338" s="101">
        <v>15000</v>
      </c>
    </row>
    <row r="339" spans="2:8" ht="12.75">
      <c r="B339" s="60" t="s">
        <v>213</v>
      </c>
      <c r="F339" s="101">
        <v>24600</v>
      </c>
      <c r="G339" s="96"/>
      <c r="H339" s="101">
        <v>1200</v>
      </c>
    </row>
    <row r="340" spans="2:8" ht="12.75">
      <c r="B340" s="60" t="s">
        <v>214</v>
      </c>
      <c r="F340" s="101">
        <v>1400</v>
      </c>
      <c r="G340" s="96"/>
      <c r="H340" s="101">
        <v>1400</v>
      </c>
    </row>
    <row r="341" spans="2:9" ht="12.75">
      <c r="B341" s="60" t="s">
        <v>215</v>
      </c>
      <c r="F341" s="101">
        <v>0</v>
      </c>
      <c r="G341" s="96"/>
      <c r="H341" s="101">
        <v>48400</v>
      </c>
      <c r="I341" s="60" t="s">
        <v>216</v>
      </c>
    </row>
    <row r="342" spans="6:8" ht="13.5" thickBot="1">
      <c r="F342" s="85">
        <f>SUM(F337:F341)</f>
        <v>66000</v>
      </c>
      <c r="G342" s="72"/>
      <c r="H342" s="85">
        <f>SUM(H337:H341)</f>
        <v>66000</v>
      </c>
    </row>
    <row r="343" spans="6:8" ht="13.5" thickTop="1">
      <c r="F343" s="72"/>
      <c r="H343" s="72"/>
    </row>
    <row r="344" spans="1:8" ht="12.75">
      <c r="A344" s="62" t="s">
        <v>216</v>
      </c>
      <c r="B344" s="60" t="s">
        <v>217</v>
      </c>
      <c r="F344" s="72"/>
      <c r="H344" s="72"/>
    </row>
    <row r="345" spans="2:8" ht="12.75">
      <c r="B345" s="60" t="s">
        <v>218</v>
      </c>
      <c r="F345" s="72"/>
      <c r="H345" s="72"/>
    </row>
    <row r="346" spans="6:8" ht="12.75">
      <c r="F346" s="72"/>
      <c r="H346" s="72"/>
    </row>
    <row r="347" spans="6:8" ht="12.75">
      <c r="F347" s="72"/>
      <c r="H347" s="72"/>
    </row>
    <row r="348" spans="1:8" ht="12.75">
      <c r="A348" s="63" t="s">
        <v>219</v>
      </c>
      <c r="B348" s="63"/>
      <c r="F348" s="72"/>
      <c r="H348" s="72"/>
    </row>
    <row r="349" spans="1:8" ht="12.75">
      <c r="A349" s="63" t="s">
        <v>220</v>
      </c>
      <c r="B349" s="63"/>
      <c r="F349" s="72"/>
      <c r="H349" s="72"/>
    </row>
    <row r="350" spans="1:8" ht="12.75">
      <c r="A350" s="63"/>
      <c r="B350" s="63"/>
      <c r="F350" s="72"/>
      <c r="H350" s="72"/>
    </row>
    <row r="351" spans="1:8" ht="12.75">
      <c r="A351" s="63"/>
      <c r="B351" s="63"/>
      <c r="F351" s="72"/>
      <c r="H351" s="72"/>
    </row>
    <row r="352" spans="1:8" ht="12.75">
      <c r="A352" s="63" t="s">
        <v>221</v>
      </c>
      <c r="B352" s="63"/>
      <c r="F352" s="72"/>
      <c r="H352" s="72"/>
    </row>
    <row r="353" spans="1:8" ht="12.75">
      <c r="A353" s="63"/>
      <c r="B353" s="63"/>
      <c r="F353" s="72"/>
      <c r="H353" s="72"/>
    </row>
    <row r="354" spans="1:8" ht="12.75">
      <c r="A354" s="63"/>
      <c r="B354" s="63"/>
      <c r="F354" s="72"/>
      <c r="H354" s="72"/>
    </row>
    <row r="355" spans="1:8" ht="12.75">
      <c r="A355" s="63"/>
      <c r="B355" s="63"/>
      <c r="F355" s="72"/>
      <c r="H355" s="72"/>
    </row>
    <row r="356" spans="1:8" ht="12.75">
      <c r="A356" s="63"/>
      <c r="B356" s="63"/>
      <c r="F356" s="72"/>
      <c r="H356" s="72"/>
    </row>
    <row r="357" spans="1:8" ht="12.75">
      <c r="A357" s="63"/>
      <c r="B357" s="63"/>
      <c r="F357" s="72"/>
      <c r="H357" s="72"/>
    </row>
    <row r="358" spans="1:8" ht="12.75">
      <c r="A358" s="63"/>
      <c r="B358" s="63"/>
      <c r="F358" s="72"/>
      <c r="H358" s="72"/>
    </row>
    <row r="359" spans="1:8" ht="12.75">
      <c r="A359" s="63"/>
      <c r="B359" s="63"/>
      <c r="F359" s="72"/>
      <c r="H359" s="72"/>
    </row>
    <row r="360" spans="1:8" ht="12.75">
      <c r="A360" s="63"/>
      <c r="B360" s="63"/>
      <c r="F360" s="72"/>
      <c r="H360" s="72"/>
    </row>
    <row r="361" spans="1:8" ht="12.75">
      <c r="A361" s="63"/>
      <c r="B361" s="63"/>
      <c r="F361" s="72"/>
      <c r="H361" s="72"/>
    </row>
    <row r="362" spans="1:8" ht="12.75">
      <c r="A362" s="63"/>
      <c r="B362" s="63"/>
      <c r="F362" s="72"/>
      <c r="H362" s="72"/>
    </row>
    <row r="363" spans="1:8" ht="12.75">
      <c r="A363" s="63"/>
      <c r="B363" s="63"/>
      <c r="F363" s="72"/>
      <c r="H363" s="72"/>
    </row>
    <row r="364" spans="1:8" ht="12.75">
      <c r="A364" s="63"/>
      <c r="B364" s="63"/>
      <c r="F364" s="72"/>
      <c r="H364" s="72"/>
    </row>
    <row r="365" spans="1:8" ht="12.75">
      <c r="A365" s="63"/>
      <c r="B365" s="63"/>
      <c r="F365" s="72"/>
      <c r="H365" s="72"/>
    </row>
    <row r="366" spans="1:8" ht="12.75">
      <c r="A366" s="63"/>
      <c r="B366" s="63"/>
      <c r="F366" s="72"/>
      <c r="H366" s="72"/>
    </row>
    <row r="367" spans="1:8" ht="12.75">
      <c r="A367" s="63"/>
      <c r="B367" s="63"/>
      <c r="F367" s="72"/>
      <c r="H367" s="72"/>
    </row>
    <row r="368" spans="1:8" ht="12.75">
      <c r="A368" s="63"/>
      <c r="B368" s="63"/>
      <c r="F368" s="72"/>
      <c r="H368" s="72"/>
    </row>
    <row r="369" spans="6:8" ht="12.75">
      <c r="F369" s="72"/>
      <c r="H369" s="72"/>
    </row>
    <row r="370" spans="6:8" ht="12.75">
      <c r="F370" s="72"/>
      <c r="H370" s="72"/>
    </row>
    <row r="371" spans="6:8" ht="12.75">
      <c r="F371" s="72"/>
      <c r="H371" s="72"/>
    </row>
    <row r="372" spans="6:8" ht="12.75">
      <c r="F372" s="72"/>
      <c r="H372" s="72"/>
    </row>
    <row r="373" spans="6:8" ht="12.75">
      <c r="F373" s="72"/>
      <c r="H373" s="72"/>
    </row>
    <row r="374" spans="6:8" ht="12.75">
      <c r="F374" s="72"/>
      <c r="H374" s="72"/>
    </row>
    <row r="375" spans="6:8" ht="12.75">
      <c r="F375" s="72"/>
      <c r="H375" s="72"/>
    </row>
    <row r="376" spans="6:8" ht="12.75">
      <c r="F376" s="96"/>
      <c r="G376" s="90"/>
      <c r="H376" s="96"/>
    </row>
    <row r="377" spans="6:8" ht="12.75">
      <c r="F377" s="96"/>
      <c r="G377" s="90"/>
      <c r="H377" s="96"/>
    </row>
    <row r="378" spans="6:8" ht="12.75">
      <c r="F378" s="96"/>
      <c r="G378" s="90"/>
      <c r="H378" s="96"/>
    </row>
    <row r="379" spans="6:8" ht="12.75">
      <c r="F379" s="96"/>
      <c r="G379" s="90"/>
      <c r="H379" s="96"/>
    </row>
    <row r="380" spans="6:8" ht="12.75">
      <c r="F380" s="96"/>
      <c r="G380" s="90"/>
      <c r="H380" s="96"/>
    </row>
    <row r="381" spans="6:8" ht="12.75">
      <c r="F381" s="96"/>
      <c r="G381" s="90"/>
      <c r="H381" s="96"/>
    </row>
    <row r="382" spans="6:8" ht="12.75">
      <c r="F382" s="96"/>
      <c r="G382" s="90"/>
      <c r="H382" s="96"/>
    </row>
    <row r="383" spans="6:8" ht="12.75">
      <c r="F383" s="96"/>
      <c r="G383" s="90"/>
      <c r="H383" s="96"/>
    </row>
    <row r="384" spans="6:8" ht="12.75">
      <c r="F384" s="96"/>
      <c r="G384" s="90"/>
      <c r="H384" s="96"/>
    </row>
    <row r="385" spans="6:8" ht="12.75">
      <c r="F385" s="96"/>
      <c r="G385" s="90"/>
      <c r="H385" s="96"/>
    </row>
    <row r="386" spans="6:8" ht="12.75">
      <c r="F386" s="96"/>
      <c r="G386" s="90"/>
      <c r="H386" s="96"/>
    </row>
    <row r="387" spans="6:8" ht="12.75">
      <c r="F387" s="96"/>
      <c r="G387" s="90"/>
      <c r="H387" s="96"/>
    </row>
    <row r="388" spans="2:8" ht="12.75">
      <c r="B388" s="63"/>
      <c r="F388" s="96"/>
      <c r="G388" s="90"/>
      <c r="H388" s="96"/>
    </row>
    <row r="389" spans="6:8" ht="12.75">
      <c r="F389" s="96"/>
      <c r="G389" s="90"/>
      <c r="H389" s="96"/>
    </row>
    <row r="390" spans="6:8" ht="12.75">
      <c r="F390" s="72"/>
      <c r="H390" s="72"/>
    </row>
    <row r="391" spans="6:8" ht="12.75">
      <c r="F391" s="72"/>
      <c r="H391" s="72"/>
    </row>
    <row r="392" spans="6:8" ht="12.75">
      <c r="F392" s="72"/>
      <c r="H392" s="72"/>
    </row>
    <row r="393" spans="6:8" ht="12.75">
      <c r="F393" s="72"/>
      <c r="H393" s="72"/>
    </row>
    <row r="394" spans="2:8" ht="12.75">
      <c r="B394" s="103"/>
      <c r="F394" s="72"/>
      <c r="H394" s="72"/>
    </row>
    <row r="395" spans="6:8" ht="12.75">
      <c r="F395" s="72"/>
      <c r="H395" s="72"/>
    </row>
    <row r="396" spans="6:8" ht="12.75">
      <c r="F396" s="72"/>
      <c r="H396" s="72"/>
    </row>
  </sheetData>
  <sheetProtection password="CAC8" sheet="1" objects="1" scenarios="1"/>
  <mergeCells count="9">
    <mergeCell ref="H62:I62"/>
    <mergeCell ref="F63:G63"/>
    <mergeCell ref="H63:I63"/>
    <mergeCell ref="E67:F67"/>
    <mergeCell ref="G67:H67"/>
    <mergeCell ref="B68:D68"/>
    <mergeCell ref="H80:I80"/>
    <mergeCell ref="F81:G81"/>
    <mergeCell ref="H81:I81"/>
  </mergeCells>
  <printOptions/>
  <pageMargins left="0.75" right="0.75" top="1" bottom="1" header="0.5" footer="0.5"/>
  <pageSetup orientation="portrait" scale="83" r:id="rId2"/>
  <rowBreaks count="6" manualBreakCount="6">
    <brk id="53" max="255" man="1"/>
    <brk id="114" max="255" man="1"/>
    <brk id="174" max="255" man="1"/>
    <brk id="208" max="255" man="1"/>
    <brk id="262" max="255" man="1"/>
    <brk id="3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AVF-16</dc:creator>
  <cp:keywords/>
  <dc:description/>
  <cp:lastModifiedBy>Partner2</cp:lastModifiedBy>
  <cp:lastPrinted>2008-04-28T03:20:09Z</cp:lastPrinted>
  <dcterms:created xsi:type="dcterms:W3CDTF">2008-04-24T03:08:43Z</dcterms:created>
  <dcterms:modified xsi:type="dcterms:W3CDTF">2008-04-28T06:59:09Z</dcterms:modified>
  <cp:category/>
  <cp:version/>
  <cp:contentType/>
  <cp:contentStatus/>
</cp:coreProperties>
</file>